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5" activeTab="0"/>
  </bookViews>
  <sheets>
    <sheet name="June Cash Flow Projections" sheetId="1" r:id="rId1"/>
    <sheet name="June P&amp;L Projections" sheetId="2" r:id="rId2"/>
    <sheet name="Jun'17 Sales Projections " sheetId="3" r:id="rId3"/>
    <sheet name="June Payment Projections" sheetId="4" r:id="rId4"/>
    <sheet name="Notes" sheetId="5" r:id="rId5"/>
    <sheet name="Assumptions" sheetId="6" r:id="rId6"/>
    <sheet name="WORKING FILES AREA" sheetId="7" r:id="rId7"/>
    <sheet name="Payments" sheetId="8" r:id="rId8"/>
    <sheet name="June P&amp;L Proj working" sheetId="9" r:id="rId9"/>
    <sheet name="June Sales Projection-Working" sheetId="10" r:id="rId10"/>
    <sheet name="Apr'17 Sale" sheetId="11" state="hidden" r:id="rId11"/>
    <sheet name="Apr'17 Invoice Details" sheetId="12" state="hidden" r:id="rId12"/>
    <sheet name="Actual 0317 Invoices Details" sheetId="13" state="hidden" r:id="rId13"/>
  </sheets>
  <definedNames>
    <definedName name="_xlfn.AGGREGATE" hidden="1">#NAME?</definedName>
    <definedName name="_xlfn.AVERAGEIF" hidden="1">#NAME?</definedName>
    <definedName name="_xlfn.AVERAGEIFS" hidden="1">#NAME?</definedName>
    <definedName name="_xlfn.IFERROR" hidden="1">#NAME?</definedName>
    <definedName name="_xlnm.Print_Area" localSheetId="0">'June Cash Flow Projections'!$A$1:$F$77</definedName>
    <definedName name="_xlnm.Print_Area" localSheetId="3">'June Payment Projections'!$A$1:$H$4</definedName>
  </definedNames>
  <calcPr fullCalcOnLoad="1"/>
</workbook>
</file>

<file path=xl/sharedStrings.xml><?xml version="1.0" encoding="utf-8"?>
<sst xmlns="http://schemas.openxmlformats.org/spreadsheetml/2006/main" count="2250" uniqueCount="1157">
  <si>
    <t>Profit &amp; Loss</t>
  </si>
  <si>
    <t>Medico Beauty Limited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</si>
  <si>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</si>
  <si>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</si>
  <si>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</si>
  <si>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</si>
  <si>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</si>
  <si>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</si>
  <si>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</si>
  <si>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</si>
  <si>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</si>
  <si>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</si>
  <si>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Total</t>
  </si>
  <si>
    <t>Actual</t>
  </si>
  <si>
    <t>Income</t>
  </si>
  <si>
    <t>Distribution and Carriage</t>
  </si>
  <si>
    <t>Product Sales</t>
  </si>
  <si>
    <t>Skin Services (Treatments)</t>
  </si>
  <si>
    <t>Total Income</t>
  </si>
  <si>
    <t>Less Cost of Sales</t>
  </si>
  <si>
    <t>Consultants</t>
  </si>
  <si>
    <t>Freight &amp; Carriage</t>
  </si>
  <si>
    <t>Fulfilment &amp; Stock Management</t>
  </si>
  <si>
    <t>Gifts and Samples</t>
  </si>
  <si>
    <t>Materials Purchased</t>
  </si>
  <si>
    <t>Packaging</t>
  </si>
  <si>
    <t>Sales Promotions</t>
  </si>
  <si>
    <t>Total Cost of Sales</t>
  </si>
  <si>
    <t>Gross Profit</t>
  </si>
  <si>
    <t>Plus Other Income</t>
  </si>
  <si>
    <t>Miscellaneous Income</t>
  </si>
  <si>
    <t>Training &amp; Education MB Institute</t>
  </si>
  <si>
    <t>Total Other Income</t>
  </si>
  <si>
    <t>Less Operating Expenses</t>
  </si>
  <si>
    <t>Accounting fees</t>
  </si>
  <si>
    <t>Advertising and marketing</t>
  </si>
  <si>
    <t>Bank Charges</t>
  </si>
  <si>
    <t>Bank Interest Paid</t>
  </si>
  <si>
    <t>Car Hire, Tube, Rail, Taxi</t>
  </si>
  <si>
    <t>Car lease contributions by employee</t>
  </si>
  <si>
    <t>Clothing Costs</t>
  </si>
  <si>
    <t>Company Car Lease</t>
  </si>
  <si>
    <t>Computer and IT Expenses</t>
  </si>
  <si>
    <t>Consultancy Fees</t>
  </si>
  <si>
    <t>Directors Salaries</t>
  </si>
  <si>
    <t>Donations</t>
  </si>
  <si>
    <t>Entertainment</t>
  </si>
  <si>
    <t>Equipment Hire</t>
  </si>
  <si>
    <t>Gas</t>
  </si>
  <si>
    <t>General Office Expenses and Small Equipment (7507)</t>
  </si>
  <si>
    <t>Insurance</t>
  </si>
  <si>
    <t>Legal &amp; Professional Fees</t>
  </si>
  <si>
    <t>Licences</t>
  </si>
  <si>
    <t>Office Stationery</t>
  </si>
  <si>
    <t>Postage</t>
  </si>
  <si>
    <t>Printing</t>
  </si>
  <si>
    <t>Professional Memberships</t>
  </si>
  <si>
    <t>Rates</t>
  </si>
  <si>
    <t>Sales Commissions Paid</t>
  </si>
  <si>
    <t>Storage</t>
  </si>
  <si>
    <t>Subscriptions</t>
  </si>
  <si>
    <t>Sundry Expenses</t>
  </si>
  <si>
    <t>Telephone</t>
  </si>
  <si>
    <t>Tower Clinic</t>
  </si>
  <si>
    <t>Trade expos</t>
  </si>
  <si>
    <t>Training Costs</t>
  </si>
  <si>
    <t>Travelling</t>
  </si>
  <si>
    <t>Wages - freelancers</t>
  </si>
  <si>
    <t>Wages - regular (PAYE staff)</t>
  </si>
  <si>
    <t>Total Operating Expenses</t>
  </si>
  <si>
    <t>Net Profit</t>
  </si>
  <si>
    <t xml:space="preserve">Assumptions  </t>
  </si>
  <si>
    <t>Distribution Expenses</t>
  </si>
  <si>
    <t xml:space="preserve">of sale </t>
  </si>
  <si>
    <t>Sr. No</t>
  </si>
  <si>
    <t>GL Account</t>
  </si>
  <si>
    <t>Rate</t>
  </si>
  <si>
    <t>Details</t>
  </si>
  <si>
    <t>Once in every quarter - Jan, April, July &amp; Oct - Average of last 2 purchases</t>
  </si>
  <si>
    <t>Sales Promotion</t>
  </si>
  <si>
    <t xml:space="preserve">Once in every alternate month - Average of last 2 actuals </t>
  </si>
  <si>
    <t>of sale - Based on last spent</t>
  </si>
  <si>
    <t>Every month</t>
  </si>
  <si>
    <t>Online Storage</t>
  </si>
  <si>
    <t>Box.com - Based on actual payments</t>
  </si>
  <si>
    <t>Breadwinner</t>
  </si>
  <si>
    <t>Adobe</t>
  </si>
  <si>
    <t>Evernote</t>
  </si>
  <si>
    <t>Getty Images - Stock photos</t>
  </si>
  <si>
    <t>Microsoft</t>
  </si>
  <si>
    <t>Shopify</t>
  </si>
  <si>
    <t>Vimeo</t>
  </si>
  <si>
    <t>Miscellaneous</t>
  </si>
  <si>
    <t>Sr #</t>
  </si>
  <si>
    <t>Contact</t>
  </si>
  <si>
    <t>Abigail James Facialist</t>
  </si>
  <si>
    <t>Alison Warner</t>
  </si>
  <si>
    <t>Dr Rabia Malik</t>
  </si>
  <si>
    <t>EF Medi Spa - Chelsea</t>
  </si>
  <si>
    <t>EF Medi Spa - Kensington</t>
  </si>
  <si>
    <t>EF Medi Spa - SJW</t>
  </si>
  <si>
    <t>Eliza Facialist</t>
  </si>
  <si>
    <t>Julia Hart Facialist</t>
  </si>
  <si>
    <t>La Belle Forme</t>
  </si>
  <si>
    <t>Merchant Hotel Ltd</t>
  </si>
  <si>
    <t>Plastic Surgery Associates</t>
  </si>
  <si>
    <t>Rejouir Skin Clinic</t>
  </si>
  <si>
    <t>Saks Hair &amp; Beauty - Gosforth</t>
  </si>
  <si>
    <t>Saks Hair &amp; Beauty - Halifax</t>
  </si>
  <si>
    <t>Skin Rich Ltd</t>
  </si>
  <si>
    <t>The Beauty Room Oundle</t>
  </si>
  <si>
    <t>The Laser Centre</t>
  </si>
  <si>
    <t>TMK Aesthetics Lab LLP</t>
  </si>
  <si>
    <t>Wimpole Aesthetic Centre</t>
  </si>
  <si>
    <t>Yvonne Scully</t>
  </si>
  <si>
    <t>Key Customers Sale Projections</t>
  </si>
  <si>
    <t>Other Customers sale</t>
  </si>
  <si>
    <t>Other Customers sales %age</t>
  </si>
  <si>
    <t>Key Customers sales %age</t>
  </si>
  <si>
    <t>Projections</t>
  </si>
  <si>
    <t>Actual Sales In</t>
  </si>
  <si>
    <t>Income by Contact</t>
  </si>
  <si>
    <t>A T Skin &amp; Laser</t>
  </si>
  <si>
    <t>aadlondon ltd</t>
  </si>
  <si>
    <t>Aer Lingus</t>
  </si>
  <si>
    <t>Aesthetic Skin Consultants</t>
  </si>
  <si>
    <t>Aine O'Driscoll</t>
  </si>
  <si>
    <t>Alexandra Purits</t>
  </si>
  <si>
    <t>Alice Cowman</t>
  </si>
  <si>
    <t>Alison Goodwin</t>
  </si>
  <si>
    <t>Alison Osgathorpe</t>
  </si>
  <si>
    <t>Amba Morris (mytinytoe@gmail.com)</t>
  </si>
  <si>
    <t>Amelia Robinson</t>
  </si>
  <si>
    <t>An Ly</t>
  </si>
  <si>
    <t>ana maziarz</t>
  </si>
  <si>
    <t>Anchalee Dalton</t>
  </si>
  <si>
    <t>Andy Millward</t>
  </si>
  <si>
    <t>Angela Armstrong</t>
  </si>
  <si>
    <t>Angela Armstrong (angela.armstrong@calamanderconsulting.co.uk)</t>
  </si>
  <si>
    <t>Angelina Phillips</t>
  </si>
  <si>
    <t>Anjlee Saigol</t>
  </si>
  <si>
    <t>Ann Backhouse</t>
  </si>
  <si>
    <t>Anna Cox-Walker (acwuni@googlemail.com)</t>
  </si>
  <si>
    <t>Anna Smith</t>
  </si>
  <si>
    <t>Annabelle Reid</t>
  </si>
  <si>
    <t>Anne Shaw</t>
  </si>
  <si>
    <t>Anouska Anquetil</t>
  </si>
  <si>
    <t>Aoife O'Neill</t>
  </si>
  <si>
    <t>Aysha Awwad</t>
  </si>
  <si>
    <t>Aysha Campion</t>
  </si>
  <si>
    <t>Bambi Bambi</t>
  </si>
  <si>
    <t>Barbara Mead</t>
  </si>
  <si>
    <t>Beaufort Dental Health</t>
  </si>
  <si>
    <t>Becky Rudd</t>
  </si>
  <si>
    <t>Beverley Gilbert</t>
  </si>
  <si>
    <t>bowen liu</t>
  </si>
  <si>
    <t>Brian Cooper</t>
  </si>
  <si>
    <t>C Kenworthy</t>
  </si>
  <si>
    <t>Camilla Awwad</t>
  </si>
  <si>
    <t>Camilla Campion</t>
  </si>
  <si>
    <t>Carol Roberts</t>
  </si>
  <si>
    <t>Carolina Cuttica</t>
  </si>
  <si>
    <t>Catherine Foote</t>
  </si>
  <si>
    <t>catherine payne</t>
  </si>
  <si>
    <t>Catherine WIngfield</t>
  </si>
  <si>
    <t>Charlotte Wickenden</t>
  </si>
  <si>
    <t>Christine Kelly</t>
  </si>
  <si>
    <t>Christine Simpson</t>
  </si>
  <si>
    <t>Christopher Gray</t>
  </si>
  <si>
    <t>chu cao</t>
  </si>
  <si>
    <t>CHUNXIAO CHEN</t>
  </si>
  <si>
    <t>Ciara Shortt</t>
  </si>
  <si>
    <t>Cindy Jenkins</t>
  </si>
  <si>
    <t>Claire Daly</t>
  </si>
  <si>
    <t>Clare Grennant</t>
  </si>
  <si>
    <t>Clare Harris</t>
  </si>
  <si>
    <t>Clare Lankester</t>
  </si>
  <si>
    <t>Clare Lankester (clare1@live.com.au)</t>
  </si>
  <si>
    <t>Clemmie Chant-Sempil</t>
  </si>
  <si>
    <t>Clerkenwell London Ltd</t>
  </si>
  <si>
    <t>Consultance Trade One</t>
  </si>
  <si>
    <t>Cosmetic Nursing Ltd</t>
  </si>
  <si>
    <t>Cosmomedic</t>
  </si>
  <si>
    <t>Daniela Bills everett</t>
  </si>
  <si>
    <t>DANNI HUANG</t>
  </si>
  <si>
    <t>Danni Menzies</t>
  </si>
  <si>
    <t>Dawn Baker</t>
  </si>
  <si>
    <t>Deborah Burden</t>
  </si>
  <si>
    <t>Deborah Ryall</t>
  </si>
  <si>
    <t>Dev Sangani</t>
  </si>
  <si>
    <t>Diana Augustoni</t>
  </si>
  <si>
    <t>Dimitrios Kavadas</t>
  </si>
  <si>
    <t>Edith Forrest</t>
  </si>
  <si>
    <t>Eileen Koh</t>
  </si>
  <si>
    <t>Elaine Sneddon</t>
  </si>
  <si>
    <t>Eleanor Barrett</t>
  </si>
  <si>
    <t>Elena Andreeva</t>
  </si>
  <si>
    <t>Elizabeth Handy</t>
  </si>
  <si>
    <t>Elizabeth Kenning</t>
  </si>
  <si>
    <t>Elizabeth Ling-Locke</t>
  </si>
  <si>
    <t>Emily Gibbons</t>
  </si>
  <si>
    <t>Emma Catton</t>
  </si>
  <si>
    <t>Emma Deegan</t>
  </si>
  <si>
    <t>Emma Kirkpatrick (emmakirkpatrick1990@hotmail.co.uk)</t>
  </si>
  <si>
    <t>Emma Savill</t>
  </si>
  <si>
    <t>Evelina Mackonyte</t>
  </si>
  <si>
    <t>Eziafakaku Nwokolo</t>
  </si>
  <si>
    <t>Farrah Ghani</t>
  </si>
  <si>
    <t>Fionnuala O'Neill (campbell.fionnuala@gmail.com)</t>
  </si>
  <si>
    <t>Frances Shelley</t>
  </si>
  <si>
    <t>Fraser McHardy</t>
  </si>
  <si>
    <t>FTW Slinger</t>
  </si>
  <si>
    <t>Gabriela Udma</t>
  </si>
  <si>
    <t>Galleria Hair and Beauty</t>
  </si>
  <si>
    <t>Ganga Raj</t>
  </si>
  <si>
    <t>Gary Dainty</t>
  </si>
  <si>
    <t>gary headley</t>
  </si>
  <si>
    <t>Gill Donnolly</t>
  </si>
  <si>
    <t>Grace Guo</t>
  </si>
  <si>
    <t>Gresford Skincare Clinic</t>
  </si>
  <si>
    <t>Hannah James</t>
  </si>
  <si>
    <t>Hannah Potter</t>
  </si>
  <si>
    <t>Hanover House Dental Practice</t>
  </si>
  <si>
    <t>Harmony Health and Beauty</t>
  </si>
  <si>
    <t>HE LI</t>
  </si>
  <si>
    <t>Heather Holt</t>
  </si>
  <si>
    <t>Heidi Geronimo</t>
  </si>
  <si>
    <t>Helen Brobbey</t>
  </si>
  <si>
    <t>Helen Pettit</t>
  </si>
  <si>
    <t>Holly Faulkner</t>
  </si>
  <si>
    <t>Iuliana Simion</t>
  </si>
  <si>
    <t>iZettle - trade</t>
  </si>
  <si>
    <t>Jackie Armstrong</t>
  </si>
  <si>
    <t>Jackie Knight</t>
  </si>
  <si>
    <t>Jacqueline Chalmers</t>
  </si>
  <si>
    <t>James Deegan</t>
  </si>
  <si>
    <t>Jane Cramp</t>
  </si>
  <si>
    <t>Janet Schofield</t>
  </si>
  <si>
    <t>JANETTE ILLINGWORTH</t>
  </si>
  <si>
    <t>JANETTE ILLINGWORTH (janette.illingworth0304@btinternet.com)</t>
  </si>
  <si>
    <t>Jasmine Chadwick</t>
  </si>
  <si>
    <t>Jennifer Pabley Kohli</t>
  </si>
  <si>
    <t>Jenny Leung</t>
  </si>
  <si>
    <t>JIAYANG XIAO</t>
  </si>
  <si>
    <t>Jihan Al Mudhaffar</t>
  </si>
  <si>
    <t>Jill Tomlinson</t>
  </si>
  <si>
    <t>JIN YANG</t>
  </si>
  <si>
    <t>Jinjie Gao</t>
  </si>
  <si>
    <t>Joanna Cumberland</t>
  </si>
  <si>
    <t>Joanne Cox</t>
  </si>
  <si>
    <t>John Scott/EB</t>
  </si>
  <si>
    <t>Jon Hudson</t>
  </si>
  <si>
    <t>Juemin Ou</t>
  </si>
  <si>
    <t>Juleah Claar</t>
  </si>
  <si>
    <t>Julian Burrell</t>
  </si>
  <si>
    <t>Julie Hodson Campion</t>
  </si>
  <si>
    <t>Julie Wallis</t>
  </si>
  <si>
    <t>Juliette Ivie</t>
  </si>
  <si>
    <t>Kandice Piva</t>
  </si>
  <si>
    <t>KAREN GARDNER (palmjumeirahgardners@gmail.com)</t>
  </si>
  <si>
    <t>Karen Guan</t>
  </si>
  <si>
    <t>Karen Kelsall</t>
  </si>
  <si>
    <t>Karen van Breda</t>
  </si>
  <si>
    <t>Karen Vizard</t>
  </si>
  <si>
    <t>Karen Wrethman</t>
  </si>
  <si>
    <t>Karidis Clinic</t>
  </si>
  <si>
    <t>Kate Louise Rhodes</t>
  </si>
  <si>
    <t>Kate Mckenzie</t>
  </si>
  <si>
    <t>Kateryna Whitmee</t>
  </si>
  <si>
    <t>Kathleen Bryant</t>
  </si>
  <si>
    <t>kathryn baptist</t>
  </si>
  <si>
    <t>Kathryn Danzey</t>
  </si>
  <si>
    <t>Kathryn Hand</t>
  </si>
  <si>
    <t>Katie Frizel</t>
  </si>
  <si>
    <t>Katie May</t>
  </si>
  <si>
    <t>Katie Rhodes</t>
  </si>
  <si>
    <t>Katy Gibson</t>
  </si>
  <si>
    <t>Kay Yen Leung</t>
  </si>
  <si>
    <t>Kellie Walker (kellie.milne@gmail.com)</t>
  </si>
  <si>
    <t>kendal owens</t>
  </si>
  <si>
    <t>Keran Gill</t>
  </si>
  <si>
    <t>Kerri O'Neill</t>
  </si>
  <si>
    <t>KIM WALKER</t>
  </si>
  <si>
    <t>KIM WALKER (kimmyandgunner@btinternet.com)</t>
  </si>
  <si>
    <t>Krisztina Radetzky</t>
  </si>
  <si>
    <t>Lana Lanina</t>
  </si>
  <si>
    <t>Lara Pilkington</t>
  </si>
  <si>
    <t>Laura Bothamley</t>
  </si>
  <si>
    <t>Laura Delfitto</t>
  </si>
  <si>
    <t>Laura-Jane O'Shea</t>
  </si>
  <si>
    <t>Lavjit Grewal</t>
  </si>
  <si>
    <t>Lawrence Michaels</t>
  </si>
  <si>
    <t>Léa Vendrami</t>
  </si>
  <si>
    <t>Leanne Waymark (Leanne.waymark@gmail.com)</t>
  </si>
  <si>
    <t>Lena Wahlgren Smith</t>
  </si>
  <si>
    <t>Lesley de gregory</t>
  </si>
  <si>
    <t>Lianne Thomas</t>
  </si>
  <si>
    <t>Libbie Wallace Aesthetics</t>
  </si>
  <si>
    <t>Lifang Han</t>
  </si>
  <si>
    <t>LINDA BOYLEN</t>
  </si>
  <si>
    <t>Linda Milroy</t>
  </si>
  <si>
    <t>LINGYU XING</t>
  </si>
  <si>
    <t>Linli Teh</t>
  </si>
  <si>
    <t>Lisa Chu</t>
  </si>
  <si>
    <t>Lizzie Donnelly</t>
  </si>
  <si>
    <t>London Independent Plastic Surgery</t>
  </si>
  <si>
    <t>Louise Cuthbert</t>
  </si>
  <si>
    <t>Louise Penna</t>
  </si>
  <si>
    <t>Louise Smith</t>
  </si>
  <si>
    <t>Louise Williams</t>
  </si>
  <si>
    <t>Lucy Kinsella Mullen</t>
  </si>
  <si>
    <t>Luna Dalton</t>
  </si>
  <si>
    <t>Machala Botha</t>
  </si>
  <si>
    <t>Mairead Moodie (Mairead.moodie@gmail.com)</t>
  </si>
  <si>
    <t>Maisie Hindley</t>
  </si>
  <si>
    <t>Mandy Kaur</t>
  </si>
  <si>
    <t>Margit Wettler</t>
  </si>
  <si>
    <t>Marie Reynolds - London</t>
  </si>
  <si>
    <t>Marie Reynolds (marie@mariereynoldslondon.com)</t>
  </si>
  <si>
    <t>Marion Forrest</t>
  </si>
  <si>
    <t>Maya Hristakeva</t>
  </si>
  <si>
    <t>Medi - Laser Aesthetics Ltd - Leicester</t>
  </si>
  <si>
    <t>Medi Laser Aesthetics - Walsall</t>
  </si>
  <si>
    <t>medicobeauty.com RETAIL</t>
  </si>
  <si>
    <t>Megan Maley</t>
  </si>
  <si>
    <t>Melanie Friel Beauty Therapy</t>
  </si>
  <si>
    <t>Melior Clinics Ltd</t>
  </si>
  <si>
    <t>Melissa Miltiades</t>
  </si>
  <si>
    <t>Michelle D'Onofrio</t>
  </si>
  <si>
    <t>Michelle Smith</t>
  </si>
  <si>
    <t>MIlena Soares</t>
  </si>
  <si>
    <t>Mindbody</t>
  </si>
  <si>
    <t>Nadine Gill</t>
  </si>
  <si>
    <t>Nagme Yazgin (nagmeyazgin@gmail.com)</t>
  </si>
  <si>
    <t>Name_kathyjohnson49@yahoo.co.uk</t>
  </si>
  <si>
    <t>Name_nazakhtar888@gmail.com</t>
  </si>
  <si>
    <t>Name_olin0707@gmail.com</t>
  </si>
  <si>
    <t>Name_sallyastephen@gmail.com</t>
  </si>
  <si>
    <t>Name_strawberries-n-cream_95@hotmail.co.uk</t>
  </si>
  <si>
    <t>Natalie Roche</t>
  </si>
  <si>
    <t>Natasha Banham</t>
  </si>
  <si>
    <t>Newsletter Subscriber</t>
  </si>
  <si>
    <t>Newsletter Subscriber (ls@neonet.lv)</t>
  </si>
  <si>
    <t>Nicky Elson</t>
  </si>
  <si>
    <t>Nicola Robertson</t>
  </si>
  <si>
    <t>Nicola Young</t>
  </si>
  <si>
    <t>Olga Mironova</t>
  </si>
  <si>
    <t>Olga Uliutina</t>
  </si>
  <si>
    <t>Olivia Jackson</t>
  </si>
  <si>
    <t>Ooba Beauty Rooms Ltd</t>
  </si>
  <si>
    <t>P Simms</t>
  </si>
  <si>
    <t>Patricia Goodwin</t>
  </si>
  <si>
    <t>Patricia Simms</t>
  </si>
  <si>
    <t>Paul Edwards</t>
  </si>
  <si>
    <t>Perfecta Beauty Consultancy LTD.</t>
  </si>
  <si>
    <t>Peter Suraj</t>
  </si>
  <si>
    <t>Pro Skin</t>
  </si>
  <si>
    <t>Pro Skin - Esher</t>
  </si>
  <si>
    <t>Pujja Nayyar</t>
  </si>
  <si>
    <t>Pujja Nayyar (pujja201@hotmail.com)</t>
  </si>
  <si>
    <t>Rachael Collins</t>
  </si>
  <si>
    <t>Rachel Hitchmough (rhitch1@googlemail.com)</t>
  </si>
  <si>
    <t>Rahila Younis</t>
  </si>
  <si>
    <t>Rajni Kullu</t>
  </si>
  <si>
    <t>Rebekah Davies</t>
  </si>
  <si>
    <t>Rejuvenation Redefined Ltd</t>
  </si>
  <si>
    <t>Renee Lapino</t>
  </si>
  <si>
    <t>Retail - MAIL ORDER</t>
  </si>
  <si>
    <t>Retreat Health &amp; Beauty</t>
  </si>
  <si>
    <t>Rhiannon Lambert</t>
  </si>
  <si>
    <t>Rhonda Moore</t>
  </si>
  <si>
    <t>Robyn Eyres</t>
  </si>
  <si>
    <t>Rowenna Barnett</t>
  </si>
  <si>
    <t>Runaq Gulcheni</t>
  </si>
  <si>
    <t>Saks Hair &amp; Beauty - KingsHill</t>
  </si>
  <si>
    <t>Saks Hair &amp; Beauty - Milton Keynes</t>
  </si>
  <si>
    <t>Saks Hair &amp; Beauty - Urmston</t>
  </si>
  <si>
    <t>Saks Hair &amp; Beauty - West Bridgeford</t>
  </si>
  <si>
    <t>Saks Hair &amp; Beauty Northallerton</t>
  </si>
  <si>
    <t>Saks Head Office</t>
  </si>
  <si>
    <t>Sally Hornby</t>
  </si>
  <si>
    <t>salony patel</t>
  </si>
  <si>
    <t>Samantha Parkin</t>
  </si>
  <si>
    <t>Sandalwoods</t>
  </si>
  <si>
    <t>Sandra Cooke</t>
  </si>
  <si>
    <t>Sandra Mold</t>
  </si>
  <si>
    <t>Sara Fergusson</t>
  </si>
  <si>
    <t>Sarah Bromley</t>
  </si>
  <si>
    <t>Sarah Ely</t>
  </si>
  <si>
    <t>Sarah HUdson</t>
  </si>
  <si>
    <t>Sarah Macdonald</t>
  </si>
  <si>
    <t>Secret Treatment Rooms</t>
  </si>
  <si>
    <t>Serra Kucuk</t>
  </si>
  <si>
    <t>Sharon Bond</t>
  </si>
  <si>
    <t>Sharon Burke-Mukungu</t>
  </si>
  <si>
    <t>Sharon Fisher</t>
  </si>
  <si>
    <t>Sheetal Patel</t>
  </si>
  <si>
    <t>Sheila Huntridge</t>
  </si>
  <si>
    <t>Sheila HUNTRIDGE (sheilahuntridge@gmail.com)</t>
  </si>
  <si>
    <t>Sheila Kittoe</t>
  </si>
  <si>
    <t>shelly alaluf ran</t>
  </si>
  <si>
    <t>Shuhub Shawkat</t>
  </si>
  <si>
    <t>Shujun Chen</t>
  </si>
  <si>
    <t>simin lin</t>
  </si>
  <si>
    <t>Simone Stylli-roussou</t>
  </si>
  <si>
    <t>Skin Deep Solutions</t>
  </si>
  <si>
    <t>Skin Life Aesthetic</t>
  </si>
  <si>
    <t>Skin Technology Ltd</t>
  </si>
  <si>
    <t>Sonia Hebrard</t>
  </si>
  <si>
    <t>Sophie Gray</t>
  </si>
  <si>
    <t>St Georges Clinic</t>
  </si>
  <si>
    <t>Stella Wilson</t>
  </si>
  <si>
    <t>Stephanie Collins</t>
  </si>
  <si>
    <t>Stratford Dermatherapy Clinic</t>
  </si>
  <si>
    <t>Sukhjit Khera</t>
  </si>
  <si>
    <t>Sunita Shingdia</t>
  </si>
  <si>
    <t>Susan Carpenter</t>
  </si>
  <si>
    <t>Susie Mooney</t>
  </si>
  <si>
    <t>Sylvia Krcahova Ltd (inside Fitness First)</t>
  </si>
  <si>
    <t>Tahreen Shad</t>
  </si>
  <si>
    <t>Tamara Ciconi</t>
  </si>
  <si>
    <t>Tara Claws</t>
  </si>
  <si>
    <t>Tatjana von Stein</t>
  </si>
  <si>
    <t>Tatjana Vygodskaja</t>
  </si>
  <si>
    <t>Teresa Waller</t>
  </si>
  <si>
    <t>Therese Hofman</t>
  </si>
  <si>
    <t>Tian Zhou</t>
  </si>
  <si>
    <t>Tina Molloy</t>
  </si>
  <si>
    <t>Tracie Makepeace</t>
  </si>
  <si>
    <t>TRainline</t>
  </si>
  <si>
    <t>Ursula Holmes</t>
  </si>
  <si>
    <t>Venus Inspired</t>
  </si>
  <si>
    <t>Verity Satterley</t>
  </si>
  <si>
    <t>Victoria Cox</t>
  </si>
  <si>
    <t>Victoria Lee</t>
  </si>
  <si>
    <t>Vijay Patel</t>
  </si>
  <si>
    <t>Vikki Carr</t>
  </si>
  <si>
    <t>Vivienne Talsmat</t>
  </si>
  <si>
    <t>WEIFEI SHOU</t>
  </si>
  <si>
    <t>White Nails</t>
  </si>
  <si>
    <t>Xi Chen</t>
  </si>
  <si>
    <t>XINING GAN</t>
  </si>
  <si>
    <t>yiling shi</t>
  </si>
  <si>
    <t>Youth to Aesthetic</t>
  </si>
  <si>
    <t>Yuan Yue</t>
  </si>
  <si>
    <t>Yuanqing Xu</t>
  </si>
  <si>
    <t>Yvonne Brennan</t>
  </si>
  <si>
    <t>Za Miles</t>
  </si>
  <si>
    <t>Zarmina Khawaja</t>
  </si>
  <si>
    <t>Zigme Tamang</t>
  </si>
  <si>
    <t>ZOE ROWLES</t>
  </si>
  <si>
    <t>Jan'17 Fee not paid -  Assumed to be paid in Feb'17</t>
  </si>
  <si>
    <t>Number</t>
  </si>
  <si>
    <t>Comments</t>
  </si>
  <si>
    <t>Other Details</t>
  </si>
  <si>
    <t>Proportion of Sales by Key Customer Accounts is 60%.  This is based on average figure of last few months</t>
  </si>
  <si>
    <t>Proportion of Sales by NON Key Customer Accounts  This is based on average figure of last few months</t>
  </si>
  <si>
    <t>Income Projections</t>
  </si>
  <si>
    <t>Sales</t>
  </si>
  <si>
    <t>Key Customer Account Sales</t>
  </si>
  <si>
    <t>Non Key Customer Account Sales</t>
  </si>
  <si>
    <t xml:space="preserve">As per historic sales around 60% contributed by major B2B customers and 40% sales by other B2B and B2C customers. </t>
  </si>
  <si>
    <t>COGS Projections</t>
  </si>
  <si>
    <t>More information needed</t>
  </si>
  <si>
    <t>If any Price change, stock availability issue, New customers, any other factor that can effect sales.</t>
  </si>
  <si>
    <t>Check Point</t>
  </si>
  <si>
    <t>Season change effect.</t>
  </si>
  <si>
    <t>Any change legal binding.</t>
  </si>
  <si>
    <t>Consultant Fee</t>
  </si>
  <si>
    <t>Commission to contractor for training - Planning</t>
  </si>
  <si>
    <t>of sale.</t>
  </si>
  <si>
    <t>Sales of Dec'16 to Jan'17 not considered for projection due to stock availability issue in these months.</t>
  </si>
  <si>
    <t>Material Purchase</t>
  </si>
  <si>
    <t xml:space="preserve">Sales Promotion </t>
  </si>
  <si>
    <t>Actuals of last spent in every 4th Month.</t>
  </si>
  <si>
    <t>Other Income Projections</t>
  </si>
  <si>
    <t>Other Operating Expenses Projections</t>
  </si>
  <si>
    <t>INVESTEC ASSET FINANCE PLC monthly payment</t>
  </si>
  <si>
    <t>Utilities</t>
  </si>
  <si>
    <t>Average of last 3 month and double if last month is 0.</t>
  </si>
  <si>
    <t>Sales Change Due to Price Change</t>
  </si>
  <si>
    <t xml:space="preserve">Other Sales Impacting Factors </t>
  </si>
  <si>
    <t>Total Key Customer Sales (Excld VAT)</t>
  </si>
  <si>
    <t>Average Sales Proportion of Key Customers</t>
  </si>
  <si>
    <t>Avg. Sales Proportion of Other Customers</t>
  </si>
  <si>
    <t>Projected Cash Flow</t>
  </si>
  <si>
    <t>Cash Sales</t>
  </si>
  <si>
    <t>Projected Cash Receipts</t>
  </si>
  <si>
    <t>Customer Invoice Report</t>
  </si>
  <si>
    <t>Invoice Number</t>
  </si>
  <si>
    <t>Reference</t>
  </si>
  <si>
    <t>Type</t>
  </si>
  <si>
    <t>To</t>
  </si>
  <si>
    <t>Date</t>
  </si>
  <si>
    <t>Paid Date</t>
  </si>
  <si>
    <t>Invoice Total</t>
  </si>
  <si>
    <t>Paid</t>
  </si>
  <si>
    <t>Due</t>
  </si>
  <si>
    <t>Sent</t>
  </si>
  <si>
    <t>Status</t>
  </si>
  <si>
    <t>Unsent</t>
  </si>
  <si>
    <t>CR</t>
  </si>
  <si>
    <t>STAFF INCENTIVES</t>
  </si>
  <si>
    <t>Press Samples</t>
  </si>
  <si>
    <t>Andrew Millward</t>
  </si>
  <si>
    <t>Customer Samples</t>
  </si>
  <si>
    <t>Awaiting Payment</t>
  </si>
  <si>
    <t>INV</t>
  </si>
  <si>
    <t>Viewed</t>
  </si>
  <si>
    <t>Report Total</t>
  </si>
  <si>
    <t>Total sale including VAT</t>
  </si>
  <si>
    <t>Collection for Prior Months sales</t>
  </si>
  <si>
    <t>RETURNS/REPLACEMENTS</t>
  </si>
  <si>
    <t>Credit Sales Paid in Next month</t>
  </si>
  <si>
    <t>Credit Sales Paid after Next month</t>
  </si>
  <si>
    <t>Proportion of Credit sales to total sale</t>
  </si>
  <si>
    <t>Other Income</t>
  </si>
  <si>
    <t>Other Receipts</t>
  </si>
  <si>
    <t>Total Projected Cash Receipts</t>
  </si>
  <si>
    <t>Projected Cash Payments</t>
  </si>
  <si>
    <t>SHEETS AFTER THIS SHEET ARE WORKING FILES for CALCULATION PURPOSES</t>
  </si>
  <si>
    <t>CASH INFLOWS PROJECTIONS</t>
  </si>
  <si>
    <t>Payments Received against Prior Period Credit Sales</t>
  </si>
  <si>
    <t>Average Cash sales in base month for sales projection</t>
  </si>
  <si>
    <t>Credit Sales</t>
  </si>
  <si>
    <t>Average Credit sales in base month for sales projection</t>
  </si>
  <si>
    <t>Credit Sales Collections</t>
  </si>
  <si>
    <t>Credit Sales considered to be collected in next month based on prior collection experience</t>
  </si>
  <si>
    <t>Credit Sales considered to be collected in after next month based on prior collection experience</t>
  </si>
  <si>
    <t>Expenses</t>
  </si>
  <si>
    <t>Total Projected Cash Payments for Expenses</t>
  </si>
  <si>
    <t>Loan Repayments</t>
  </si>
  <si>
    <t>Other Payments</t>
  </si>
  <si>
    <t>Projected Income Statement</t>
  </si>
  <si>
    <t>Description</t>
  </si>
  <si>
    <t>Sales Projections</t>
  </si>
  <si>
    <t>Projected Cash Collections</t>
  </si>
  <si>
    <t>Key Customers' sale</t>
  </si>
  <si>
    <t>Amanda Pook</t>
  </si>
  <si>
    <t>Amber Raine</t>
  </si>
  <si>
    <t>Amina Ali</t>
  </si>
  <si>
    <t>andrew weir</t>
  </si>
  <si>
    <t>Anna Buckley</t>
  </si>
  <si>
    <t>Ashley Mcall</t>
  </si>
  <si>
    <t>Belinda Raphael</t>
  </si>
  <si>
    <t>Cheryl Chancer</t>
  </si>
  <si>
    <t>Christyan James</t>
  </si>
  <si>
    <t>Digicape</t>
  </si>
  <si>
    <t>Dr Harry Singh</t>
  </si>
  <si>
    <t>Emma Kirkpatrick</t>
  </si>
  <si>
    <t>Estie Claassen</t>
  </si>
  <si>
    <t>freya lynott</t>
  </si>
  <si>
    <t>Jenny Haycox</t>
  </si>
  <si>
    <t>Jiao Liu</t>
  </si>
  <si>
    <t>Jo Gudgin</t>
  </si>
  <si>
    <t>Jodie De leyser</t>
  </si>
  <si>
    <t>Karen Bohne</t>
  </si>
  <si>
    <t>Keith Allison</t>
  </si>
  <si>
    <t>Keith Ellis</t>
  </si>
  <si>
    <t>Lana Ilchenko</t>
  </si>
  <si>
    <t>Liam Seeber</t>
  </si>
  <si>
    <t>Louise Oldridge</t>
  </si>
  <si>
    <t>Ludovic Rossignol</t>
  </si>
  <si>
    <t>Nicola Mark</t>
  </si>
  <si>
    <t>Olwen White</t>
  </si>
  <si>
    <t>Rebecca Milner</t>
  </si>
  <si>
    <t>Rocket Lawyer</t>
  </si>
  <si>
    <t>Ruth Hitschmannn</t>
  </si>
  <si>
    <t>Samantha Tisdall</t>
  </si>
  <si>
    <t>Sarah Joslin</t>
  </si>
  <si>
    <t>Simona Heidempergher</t>
  </si>
  <si>
    <t>Sophie Arnold</t>
  </si>
  <si>
    <t>Sukhy Teehan</t>
  </si>
  <si>
    <t>Tom Czarnecki</t>
  </si>
  <si>
    <t>Tracie Wallace</t>
  </si>
  <si>
    <t>Yiming Wang</t>
  </si>
  <si>
    <t>yordanka kovacheva</t>
  </si>
  <si>
    <t xml:space="preserve">Projected Cash available </t>
  </si>
  <si>
    <t>Safety Factors</t>
  </si>
  <si>
    <t>Cash sale Reduced to as a safety factor</t>
  </si>
  <si>
    <t>Credit sales Assumed to be collected in Next Month</t>
  </si>
  <si>
    <t>Credit sales Increased to as a safety factor</t>
  </si>
  <si>
    <t>Credit sales Assumed to be collected in after Next Month</t>
  </si>
  <si>
    <t>Projected Balance Available</t>
  </si>
  <si>
    <t>Mar-17</t>
  </si>
  <si>
    <t>Alison Warner (alison@skinsolutionsoxford.co.uk)</t>
  </si>
  <si>
    <t>Anastasia Tcaci</t>
  </si>
  <si>
    <t>Ann Kettlewell</t>
  </si>
  <si>
    <t>atena ahmed</t>
  </si>
  <si>
    <t>Bindy Gill</t>
  </si>
  <si>
    <t>binhao sun</t>
  </si>
  <si>
    <t>Cara Bowora</t>
  </si>
  <si>
    <t>chloe hill</t>
  </si>
  <si>
    <t>elise ruskin</t>
  </si>
  <si>
    <t>Emily Lees</t>
  </si>
  <si>
    <t>Harminder Singh</t>
  </si>
  <si>
    <t>Hattie Rhodes</t>
  </si>
  <si>
    <t>hila biton (info@kristianaadnevik.com)</t>
  </si>
  <si>
    <t>Holly Faulkner (hollyclairfaulkner@gmail.com)</t>
  </si>
  <si>
    <t>Inga Vardhan</t>
  </si>
  <si>
    <t>Jack Hill</t>
  </si>
  <si>
    <t>Jan Carling</t>
  </si>
  <si>
    <t>Janette Stark</t>
  </si>
  <si>
    <t>Jodie Millican</t>
  </si>
  <si>
    <t>John ScottEB</t>
  </si>
  <si>
    <t>Kezia Khan</t>
  </si>
  <si>
    <t>Linda Healy</t>
  </si>
  <si>
    <t>Marie Reynolds</t>
  </si>
  <si>
    <t>Mary Hayes</t>
  </si>
  <si>
    <t>Medico Beauty Clinic Sales</t>
  </si>
  <si>
    <t>Mina Lee</t>
  </si>
  <si>
    <t>Olga Brennand</t>
  </si>
  <si>
    <t>Payless Uniforms</t>
  </si>
  <si>
    <t>Pro Skin - Liverpool St</t>
  </si>
  <si>
    <t>Rebecca Dobbs</t>
  </si>
  <si>
    <t>Ronelle Classen</t>
  </si>
  <si>
    <t>SHUI SHEN</t>
  </si>
  <si>
    <t>Stephanie Morrison</t>
  </si>
  <si>
    <t>Sylvia Krcahova</t>
  </si>
  <si>
    <t>Vanessa Minshull</t>
  </si>
  <si>
    <t>vicky hood</t>
  </si>
  <si>
    <t>Yvonne Scully (yvonne@samasbeauty.com)</t>
  </si>
  <si>
    <t>Average Sales (Aug16-Mar'17)</t>
  </si>
  <si>
    <t>Price change Factors</t>
  </si>
  <si>
    <t xml:space="preserve"> From 01 March 2017 to 31 March 2017</t>
  </si>
  <si>
    <t>Due Date</t>
  </si>
  <si>
    <t>Expected Date</t>
  </si>
  <si>
    <t>INV-18272</t>
  </si>
  <si>
    <t>4902441041-#3683</t>
  </si>
  <si>
    <t>INV-18279</t>
  </si>
  <si>
    <t>4907697873-#3690</t>
  </si>
  <si>
    <t>INV-18280</t>
  </si>
  <si>
    <t>4907710673-#3691</t>
  </si>
  <si>
    <t>INV-18282</t>
  </si>
  <si>
    <t>4912370321-#3693</t>
  </si>
  <si>
    <t>INV-18283</t>
  </si>
  <si>
    <t>4912413969-#3694</t>
  </si>
  <si>
    <t>INV-18287</t>
  </si>
  <si>
    <t>4913057873-#3700</t>
  </si>
  <si>
    <t>INV-18289</t>
  </si>
  <si>
    <t>4913602833-#3702</t>
  </si>
  <si>
    <t>INV-18299</t>
  </si>
  <si>
    <t>4928197073-#3714</t>
  </si>
  <si>
    <t>INV-18310</t>
  </si>
  <si>
    <t>4937283025-#3724</t>
  </si>
  <si>
    <t>INV-18312</t>
  </si>
  <si>
    <t>4941407121-#3727</t>
  </si>
  <si>
    <t>INV-18313</t>
  </si>
  <si>
    <t>4941410129-#3728</t>
  </si>
  <si>
    <t>INV-18314</t>
  </si>
  <si>
    <t>4941417553-#3729</t>
  </si>
  <si>
    <t>INV-18316</t>
  </si>
  <si>
    <t>4946479313-#3731</t>
  </si>
  <si>
    <t>INV-18317</t>
  </si>
  <si>
    <t>4946640977-#3732</t>
  </si>
  <si>
    <t>INV-18341</t>
  </si>
  <si>
    <t>4956756625-#3746</t>
  </si>
  <si>
    <t>INV-18345</t>
  </si>
  <si>
    <t>4957312017-#3750</t>
  </si>
  <si>
    <t>INV-18351</t>
  </si>
  <si>
    <t>4966503953-#3754</t>
  </si>
  <si>
    <t>INV-18360</t>
  </si>
  <si>
    <t>4912571345-#3696</t>
  </si>
  <si>
    <t>INV-18361</t>
  </si>
  <si>
    <t>4912595025-#3697</t>
  </si>
  <si>
    <t>INV-18363</t>
  </si>
  <si>
    <t>4972202385-#3762</t>
  </si>
  <si>
    <t>INV-18372</t>
  </si>
  <si>
    <t>4982415505-#3773</t>
  </si>
  <si>
    <t>INV-18377</t>
  </si>
  <si>
    <t>4990911825-#3778</t>
  </si>
  <si>
    <t>INV-18378</t>
  </si>
  <si>
    <t>4991133457-#3779</t>
  </si>
  <si>
    <t>INV-18380</t>
  </si>
  <si>
    <t>4991868497-#3781</t>
  </si>
  <si>
    <t>INV-18381</t>
  </si>
  <si>
    <t>4991951185-#3782</t>
  </si>
  <si>
    <t>INV-18382</t>
  </si>
  <si>
    <t>4991959057-#3783</t>
  </si>
  <si>
    <t>INV-18383</t>
  </si>
  <si>
    <t>4992125457-#3784</t>
  </si>
  <si>
    <t>INV-18386</t>
  </si>
  <si>
    <t>5004437265-#3787</t>
  </si>
  <si>
    <t>INV-18388</t>
  </si>
  <si>
    <t>5005247249-#3789</t>
  </si>
  <si>
    <t>5006269969-#3790</t>
  </si>
  <si>
    <t>INV-18391</t>
  </si>
  <si>
    <t>4982679761#-3774</t>
  </si>
  <si>
    <t>INV-18393</t>
  </si>
  <si>
    <t>5006555665-#3791</t>
  </si>
  <si>
    <t>INV-18394</t>
  </si>
  <si>
    <t>5009351121-#3793</t>
  </si>
  <si>
    <t>INV-18395</t>
  </si>
  <si>
    <t>5010163409-#3794</t>
  </si>
  <si>
    <t>INV-18396</t>
  </si>
  <si>
    <t>5014244433-#3795</t>
  </si>
  <si>
    <t>INV-18397</t>
  </si>
  <si>
    <t>5014953553-#3797</t>
  </si>
  <si>
    <t>INV-18399</t>
  </si>
  <si>
    <t>5014686993-#3796</t>
  </si>
  <si>
    <t>INV-18400</t>
  </si>
  <si>
    <t>100000158</t>
  </si>
  <si>
    <t>MEDICO BEAUTY - ZERO VALUE (PROMOTIONAL PRODUCT)</t>
  </si>
  <si>
    <t>INV-3915 - ref #3818Carlota Fabregas Soller</t>
  </si>
  <si>
    <t>Skin Treatment Series</t>
  </si>
  <si>
    <t>Bad Debt Write Off</t>
  </si>
  <si>
    <t>Amount</t>
  </si>
  <si>
    <t>Total Revenue</t>
  </si>
  <si>
    <t>%age of Total Revenue</t>
  </si>
  <si>
    <t>COGS (Stock Buying)</t>
  </si>
  <si>
    <t>Overheads</t>
  </si>
  <si>
    <t>Sales and Marketing</t>
  </si>
  <si>
    <t>Travel</t>
  </si>
  <si>
    <t>Accounting and IT Expenses</t>
  </si>
  <si>
    <t>Skin Future</t>
  </si>
  <si>
    <t>Salaries &amp; Wages</t>
  </si>
  <si>
    <t>List #</t>
  </si>
  <si>
    <t>Projected Cash Receipts &amp; Opening cash</t>
  </si>
  <si>
    <t xml:space="preserve">Project cash Available </t>
  </si>
  <si>
    <t>Apr-17</t>
  </si>
  <si>
    <t>Abigail McTear</t>
  </si>
  <si>
    <t>Aine Lavery</t>
  </si>
  <si>
    <t>Alicia Trenchard</t>
  </si>
  <si>
    <t>Anna Aalto</t>
  </si>
  <si>
    <t>E A McGillivray</t>
  </si>
  <si>
    <t>Emma Brogan</t>
  </si>
  <si>
    <t>Gail Cadwallader</t>
  </si>
  <si>
    <t>Gillian HART</t>
  </si>
  <si>
    <t>indra Singh</t>
  </si>
  <si>
    <t>K Tymon</t>
  </si>
  <si>
    <t>Lesley Rennick</t>
  </si>
  <si>
    <t>Lucy Witton</t>
  </si>
  <si>
    <t>Mrs S Aulak-Hite</t>
  </si>
  <si>
    <t>Runaq Gulcheni (rgulcheni@yahoo.co.uk)</t>
  </si>
  <si>
    <t>Shaan Ongko</t>
  </si>
  <si>
    <t>Susannah Garside</t>
  </si>
  <si>
    <t>Tom Stimpson</t>
  </si>
  <si>
    <t>Tony Elliott</t>
  </si>
  <si>
    <t>yordanka kovacheva (kovachevajordan@yahoo.co.uk)</t>
  </si>
  <si>
    <t>For the month ended 30 April 2017</t>
  </si>
  <si>
    <t xml:space="preserve">Cash Received </t>
  </si>
  <si>
    <t>Total Sale as Per Xero</t>
  </si>
  <si>
    <t xml:space="preserve"> From 01 April 2017 to 30 April 2017</t>
  </si>
  <si>
    <t>CN-3914</t>
  </si>
  <si>
    <t>100000158_4937283025-#3724</t>
  </si>
  <si>
    <t>CN-3971</t>
  </si>
  <si>
    <t>CN-4083</t>
  </si>
  <si>
    <t>5092560529-#3868</t>
  </si>
  <si>
    <t>INV-18403</t>
  </si>
  <si>
    <t>5016330641-#3798</t>
  </si>
  <si>
    <t>INV-18404</t>
  </si>
  <si>
    <t>5019233873-#3799</t>
  </si>
  <si>
    <t>INV-18405</t>
  </si>
  <si>
    <t>5019242001-#3800</t>
  </si>
  <si>
    <t>INV-18406</t>
  </si>
  <si>
    <t>5020483857-#3801</t>
  </si>
  <si>
    <t>INV-18407</t>
  </si>
  <si>
    <t>5021573777-#3802</t>
  </si>
  <si>
    <t>INV-18408</t>
  </si>
  <si>
    <t>5021740241-#3803</t>
  </si>
  <si>
    <t>INV-18409</t>
  </si>
  <si>
    <t>5023814865-#3804</t>
  </si>
  <si>
    <t>INV-18500</t>
  </si>
  <si>
    <t>5023862737-#3805</t>
  </si>
  <si>
    <t>INV-18501</t>
  </si>
  <si>
    <t>5024368145-#3806</t>
  </si>
  <si>
    <t>INV-18502</t>
  </si>
  <si>
    <t>5025016913-#3807</t>
  </si>
  <si>
    <t>INV-18503</t>
  </si>
  <si>
    <t>5025221585-#3808</t>
  </si>
  <si>
    <t>INV-18504</t>
  </si>
  <si>
    <t>5033745873-#3809</t>
  </si>
  <si>
    <t>INV-18505</t>
  </si>
  <si>
    <t>5038085265-#3810</t>
  </si>
  <si>
    <t>INV-18506</t>
  </si>
  <si>
    <t>5038209105-#3811</t>
  </si>
  <si>
    <t>INV-18507</t>
  </si>
  <si>
    <t>5044403345-#3812</t>
  </si>
  <si>
    <t>INV-18508</t>
  </si>
  <si>
    <t>5044486225-#3813</t>
  </si>
  <si>
    <t>INV-18509</t>
  </si>
  <si>
    <t>5044545553-#3814</t>
  </si>
  <si>
    <t>INV-18510</t>
  </si>
  <si>
    <t>5044682001-#3815</t>
  </si>
  <si>
    <t>INV-18511</t>
  </si>
  <si>
    <t>5049351121-#3816</t>
  </si>
  <si>
    <t>INV-18512</t>
  </si>
  <si>
    <t>5049359889-#3817</t>
  </si>
  <si>
    <t>INV-18513</t>
  </si>
  <si>
    <t>5050428433-#3818</t>
  </si>
  <si>
    <t>Carlota</t>
  </si>
  <si>
    <t>INV-18514</t>
  </si>
  <si>
    <t>5051588369-#3819</t>
  </si>
  <si>
    <t>INV-18515</t>
  </si>
  <si>
    <t>100000162/Saks Hair &amp; Beauty - Gosforth £ 120.51</t>
  </si>
  <si>
    <t>INV-18516</t>
  </si>
  <si>
    <t>100000163/EF Medispa - SJW  £39.95</t>
  </si>
  <si>
    <t>INV-18617</t>
  </si>
  <si>
    <t>5054022609-#3820</t>
  </si>
  <si>
    <t>INV-18618</t>
  </si>
  <si>
    <t>5054554769-#3822</t>
  </si>
  <si>
    <t>INV-18619</t>
  </si>
  <si>
    <t>5056292625-#3823</t>
  </si>
  <si>
    <t>INV-18620</t>
  </si>
  <si>
    <t>5059248337-#3824</t>
  </si>
  <si>
    <t>INV-18621</t>
  </si>
  <si>
    <t>5059691345-#3825</t>
  </si>
  <si>
    <t>INV-18622</t>
  </si>
  <si>
    <t>5059823249-#3826</t>
  </si>
  <si>
    <t>INV-18623</t>
  </si>
  <si>
    <t>5059961233-#3827</t>
  </si>
  <si>
    <t>INV-18624</t>
  </si>
  <si>
    <t>5060018449-#3828</t>
  </si>
  <si>
    <t>INV-18625</t>
  </si>
  <si>
    <t>5068602193-#3829</t>
  </si>
  <si>
    <t>INV-18626</t>
  </si>
  <si>
    <t>5070586641-#3830</t>
  </si>
  <si>
    <t>INV-18627</t>
  </si>
  <si>
    <t>5073659601-#3831</t>
  </si>
  <si>
    <t>INV-18628</t>
  </si>
  <si>
    <t>5073808081-#3832</t>
  </si>
  <si>
    <t>INV-18629</t>
  </si>
  <si>
    <t>5073932241-#3833</t>
  </si>
  <si>
    <t>INV-18630</t>
  </si>
  <si>
    <t>5074224593-#3834</t>
  </si>
  <si>
    <t>INV-18631</t>
  </si>
  <si>
    <t>5074246097-#3835</t>
  </si>
  <si>
    <t>jennifer mcneil (squirrelversusmonkey@hotmail.co.uk)</t>
  </si>
  <si>
    <t>INV-18632</t>
  </si>
  <si>
    <t>5074356177-#3836</t>
  </si>
  <si>
    <t>INV-18633</t>
  </si>
  <si>
    <t>5074442065-#3837</t>
  </si>
  <si>
    <t>INV-18634</t>
  </si>
  <si>
    <t>5074590609-#3838</t>
  </si>
  <si>
    <t>INV-18635</t>
  </si>
  <si>
    <t>5075063249-#3839</t>
  </si>
  <si>
    <t>INV-18636</t>
  </si>
  <si>
    <t>5054392593-#3821</t>
  </si>
  <si>
    <t>INV-18637</t>
  </si>
  <si>
    <t>5079350417-#3840</t>
  </si>
  <si>
    <t>INV-18638</t>
  </si>
  <si>
    <t>5080464721-#3841</t>
  </si>
  <si>
    <t>INV-18639</t>
  </si>
  <si>
    <t>5080777297-#3844</t>
  </si>
  <si>
    <t>INV-18640</t>
  </si>
  <si>
    <t>5080652817-#3842</t>
  </si>
  <si>
    <t>INV-18641</t>
  </si>
  <si>
    <t>5080793105-#3845</t>
  </si>
  <si>
    <t>INV-18642</t>
  </si>
  <si>
    <t>5081062289-#3846</t>
  </si>
  <si>
    <t>INV-18643</t>
  </si>
  <si>
    <t>5080680913-#3843</t>
  </si>
  <si>
    <t>INV-18644</t>
  </si>
  <si>
    <t>5081376401-#3847</t>
  </si>
  <si>
    <t>INV-18645</t>
  </si>
  <si>
    <t>5081530833-#3848</t>
  </si>
  <si>
    <t>INV-18646</t>
  </si>
  <si>
    <t>5082925457-#3849</t>
  </si>
  <si>
    <t>INV-18647</t>
  </si>
  <si>
    <t>5083224145-#3850</t>
  </si>
  <si>
    <t>INV-18648</t>
  </si>
  <si>
    <t>5085070993-#3851</t>
  </si>
  <si>
    <t>INV-18649</t>
  </si>
  <si>
    <t>5085169809-#3852</t>
  </si>
  <si>
    <t>INV-18650</t>
  </si>
  <si>
    <t>5085174097-#3853</t>
  </si>
  <si>
    <t>INV-18651</t>
  </si>
  <si>
    <t>5085179345-#3854</t>
  </si>
  <si>
    <t>INV-18652</t>
  </si>
  <si>
    <t>5085180497-#3855</t>
  </si>
  <si>
    <t>INV-18653</t>
  </si>
  <si>
    <t>5085188625-#3856</t>
  </si>
  <si>
    <t>INV-18654</t>
  </si>
  <si>
    <t>5085390737-#3857</t>
  </si>
  <si>
    <t>INV-18655</t>
  </si>
  <si>
    <t>5085532753-#3858</t>
  </si>
  <si>
    <t>INV-18656</t>
  </si>
  <si>
    <t>5087539729-#3859</t>
  </si>
  <si>
    <t>INV-18657</t>
  </si>
  <si>
    <t>5090125969-#3860</t>
  </si>
  <si>
    <t>INV-18658</t>
  </si>
  <si>
    <t>5090185425-#3861</t>
  </si>
  <si>
    <t>INV-18659</t>
  </si>
  <si>
    <t>5090186577-#3862</t>
  </si>
  <si>
    <t>INV-18660</t>
  </si>
  <si>
    <t>5090396945-#3864</t>
  </si>
  <si>
    <t>INV-18661</t>
  </si>
  <si>
    <t>5090471377-#3865</t>
  </si>
  <si>
    <t>INV-18662</t>
  </si>
  <si>
    <t>5090630929-#3866</t>
  </si>
  <si>
    <t>INV-18663</t>
  </si>
  <si>
    <t>5090739089-#3867</t>
  </si>
  <si>
    <t>INV-18664</t>
  </si>
  <si>
    <t>INV-18665</t>
  </si>
  <si>
    <t>5092600849-#3869</t>
  </si>
  <si>
    <t>INV-18666</t>
  </si>
  <si>
    <t>5097223441-#3870</t>
  </si>
  <si>
    <t>INV-18667</t>
  </si>
  <si>
    <t>5098760785-#3871</t>
  </si>
  <si>
    <t>INV-18668</t>
  </si>
  <si>
    <t>5099912529-#3872</t>
  </si>
  <si>
    <t>INV-18669</t>
  </si>
  <si>
    <t>5100777041-#3873</t>
  </si>
  <si>
    <t>INV-18670</t>
  </si>
  <si>
    <t>5101518865-#3874</t>
  </si>
  <si>
    <t>INV-18671</t>
  </si>
  <si>
    <t>5090193297-#3863</t>
  </si>
  <si>
    <t>INV-18672</t>
  </si>
  <si>
    <t>100000164/Saks Hair &amp; Beauty - Gosforth £90.50</t>
  </si>
  <si>
    <t>INV-18673</t>
  </si>
  <si>
    <t>5109710417-#3875</t>
  </si>
  <si>
    <t>INV-18674</t>
  </si>
  <si>
    <t>5113284881-#3876</t>
  </si>
  <si>
    <t>INV-18675</t>
  </si>
  <si>
    <t>5113310353-#3877</t>
  </si>
  <si>
    <t>INV-18676</t>
  </si>
  <si>
    <t>5113478545-#3878</t>
  </si>
  <si>
    <t>INV-18677</t>
  </si>
  <si>
    <t>5113486033-#3879</t>
  </si>
  <si>
    <t>INV-18678</t>
  </si>
  <si>
    <t>5113640081-#3881</t>
  </si>
  <si>
    <t>INV-18679</t>
  </si>
  <si>
    <t>5114225873-#3882</t>
  </si>
  <si>
    <t>INV-18680</t>
  </si>
  <si>
    <t>5117839185-#3883</t>
  </si>
  <si>
    <t>INV-18681</t>
  </si>
  <si>
    <t>5118159441-#3884</t>
  </si>
  <si>
    <t>INV-18682</t>
  </si>
  <si>
    <t>5118165009-#3885</t>
  </si>
  <si>
    <t>INV-18683</t>
  </si>
  <si>
    <t>5118916945-#3886</t>
  </si>
  <si>
    <t>INV-18684</t>
  </si>
  <si>
    <t>5119587665-#3887</t>
  </si>
  <si>
    <t>INV-18685</t>
  </si>
  <si>
    <t>5119792657-#3888</t>
  </si>
  <si>
    <t>INV-18686</t>
  </si>
  <si>
    <t>5123423441-#3889</t>
  </si>
  <si>
    <t>INV-18687</t>
  </si>
  <si>
    <t>5123461521-#3890</t>
  </si>
  <si>
    <t>INV-18688</t>
  </si>
  <si>
    <t>5123492177-#3891</t>
  </si>
  <si>
    <t>INV-18689</t>
  </si>
  <si>
    <t>5123563089-#3894</t>
  </si>
  <si>
    <t>INV-18690</t>
  </si>
  <si>
    <t>5123855121-#3895</t>
  </si>
  <si>
    <t>INV-18691</t>
  </si>
  <si>
    <t>5124104529-#3896</t>
  </si>
  <si>
    <t>INV-18692</t>
  </si>
  <si>
    <t>5124155217-#3897</t>
  </si>
  <si>
    <t>INV-18693</t>
  </si>
  <si>
    <t>5124487185-#3898</t>
  </si>
  <si>
    <t>INV-18694</t>
  </si>
  <si>
    <t>5124658129-#3899</t>
  </si>
  <si>
    <t>INV-18695</t>
  </si>
  <si>
    <t>100000165/Wimpole Aesthetics £349.20</t>
  </si>
  <si>
    <t>INV-18696</t>
  </si>
  <si>
    <t>100000166/Aesthetics Lab £45.25</t>
  </si>
  <si>
    <t>INV-18697</t>
  </si>
  <si>
    <t>5123534993-#3892</t>
  </si>
  <si>
    <t>INV-18698</t>
  </si>
  <si>
    <t>5123556945-#3893</t>
  </si>
  <si>
    <t>INV-18699</t>
  </si>
  <si>
    <t>5128628241-#3900</t>
  </si>
  <si>
    <t>INV-18700</t>
  </si>
  <si>
    <t>5129053841-#3901</t>
  </si>
  <si>
    <t>INV-18701</t>
  </si>
  <si>
    <t>5129145553-#3902</t>
  </si>
  <si>
    <t>INV-18702</t>
  </si>
  <si>
    <t>5129158545-#3903</t>
  </si>
  <si>
    <t>INV-18703</t>
  </si>
  <si>
    <t>5131610129-#3904</t>
  </si>
  <si>
    <t>INV-18704</t>
  </si>
  <si>
    <t>5134268113-#3905</t>
  </si>
  <si>
    <t>INV-18705</t>
  </si>
  <si>
    <t>5135613009-#3906</t>
  </si>
  <si>
    <t>INV-18706</t>
  </si>
  <si>
    <t>5141290705-#3907</t>
  </si>
  <si>
    <t>INV-18707</t>
  </si>
  <si>
    <t>5144047953-#3908</t>
  </si>
  <si>
    <t>INV-18708</t>
  </si>
  <si>
    <t>5144472849-#3909</t>
  </si>
  <si>
    <t>INV-18709</t>
  </si>
  <si>
    <t>5145117137-#3910</t>
  </si>
  <si>
    <t>INV-18710</t>
  </si>
  <si>
    <t>5145155537-#3911</t>
  </si>
  <si>
    <t>INV-18711</t>
  </si>
  <si>
    <t>5145196625-#3912</t>
  </si>
  <si>
    <t>INV-18712</t>
  </si>
  <si>
    <t>5146617489-#3915</t>
  </si>
  <si>
    <t>INV-18713</t>
  </si>
  <si>
    <t>5145280657-#3913</t>
  </si>
  <si>
    <t>INV-18714</t>
  </si>
  <si>
    <t>5149628241-#3916</t>
  </si>
  <si>
    <t>INV-18715</t>
  </si>
  <si>
    <t>5149945169-#3917</t>
  </si>
  <si>
    <t>INV-18716</t>
  </si>
  <si>
    <t>5150248209-#3918</t>
  </si>
  <si>
    <t>INV-18717</t>
  </si>
  <si>
    <t>5150896913-#3919</t>
  </si>
  <si>
    <t>INV-18718</t>
  </si>
  <si>
    <t>5155105937-#3920</t>
  </si>
  <si>
    <t>INV-18719</t>
  </si>
  <si>
    <t>5155729297-#3921</t>
  </si>
  <si>
    <t>INV-18720</t>
  </si>
  <si>
    <t>5155815313-#3922</t>
  </si>
  <si>
    <t>INV-18721</t>
  </si>
  <si>
    <t>5145326417-#3914/Missing incentive order £45.25</t>
  </si>
  <si>
    <t>INV-3931</t>
  </si>
  <si>
    <t>New Opening Order</t>
  </si>
  <si>
    <t>Net Profit/(Loss)</t>
  </si>
  <si>
    <t>Sales Force</t>
  </si>
  <si>
    <t>Consultants &amp; Freelance</t>
  </si>
  <si>
    <t>Vendor</t>
  </si>
  <si>
    <t>Campaign Monitor</t>
  </si>
  <si>
    <t>Hootsuite</t>
  </si>
  <si>
    <t>Mail chimp</t>
  </si>
  <si>
    <t>P B Tech Impact</t>
  </si>
  <si>
    <t>Social Buzzing Ltd</t>
  </si>
  <si>
    <t>Box.com</t>
  </si>
  <si>
    <t>2nd Week</t>
  </si>
  <si>
    <t>Getty Images</t>
  </si>
  <si>
    <t>3rd Week</t>
  </si>
  <si>
    <t>BT Group</t>
  </si>
  <si>
    <t>EaziPay</t>
  </si>
  <si>
    <t>iTunes</t>
  </si>
  <si>
    <t>Netflix</t>
  </si>
  <si>
    <t>Spotify</t>
  </si>
  <si>
    <t>4th Week</t>
  </si>
  <si>
    <t>INVESTEC ASSET FINANCE PLC</t>
  </si>
  <si>
    <t>Riva International</t>
  </si>
  <si>
    <t>Sales Operations UK Limited</t>
  </si>
  <si>
    <t>Salesforce</t>
  </si>
  <si>
    <t>Soho House</t>
  </si>
  <si>
    <t>For the month ended 31 May 2017</t>
  </si>
  <si>
    <t>April 2016 to May 2017</t>
  </si>
  <si>
    <t>Cash Collections</t>
  </si>
  <si>
    <t>Recurring</t>
  </si>
  <si>
    <t>Cash Summary</t>
  </si>
  <si>
    <t>Dec 2016</t>
  </si>
  <si>
    <t>Nov 2016</t>
  </si>
  <si>
    <t>Oct 2016</t>
  </si>
  <si>
    <t>Sep 2016</t>
  </si>
  <si>
    <t>Aug 2016</t>
  </si>
  <si>
    <t>Debtors Control Account</t>
  </si>
  <si>
    <t>Net Wages (2220)</t>
  </si>
  <si>
    <t>Plastic Surgery Associates - Loan Account</t>
  </si>
  <si>
    <t>Rounding</t>
  </si>
  <si>
    <t>VAT Liability</t>
  </si>
  <si>
    <t>Operating Surplus (Deficit)</t>
  </si>
  <si>
    <t>Plus Non Operating Movements</t>
  </si>
  <si>
    <t>Webshop Development</t>
  </si>
  <si>
    <t>Total Non Operating Movements</t>
  </si>
  <si>
    <t>Net Cash Movement</t>
  </si>
  <si>
    <t>Summary</t>
  </si>
  <si>
    <t>Opening Balance</t>
  </si>
  <si>
    <t>Plus Net Cash Movement</t>
  </si>
  <si>
    <t>Closing Balance</t>
  </si>
  <si>
    <t>Projected Payments</t>
  </si>
  <si>
    <t>Bank Balance as on 06.01.17</t>
  </si>
  <si>
    <t>Expense Details</t>
  </si>
  <si>
    <t>Payment Week</t>
  </si>
  <si>
    <t>1st Week</t>
  </si>
  <si>
    <t>Wages</t>
  </si>
  <si>
    <t>3rd - 5th</t>
  </si>
  <si>
    <t>5th - 10th</t>
  </si>
  <si>
    <t>7th - 10th</t>
  </si>
  <si>
    <t>18 - 20th</t>
  </si>
  <si>
    <t>7th - 14th</t>
  </si>
  <si>
    <t>18th -20th</t>
  </si>
  <si>
    <t>22th -24th</t>
  </si>
  <si>
    <t>28th - 1st</t>
  </si>
  <si>
    <t>21st - 23rd</t>
  </si>
  <si>
    <t>28th - 2nd</t>
  </si>
  <si>
    <t>20th - 22th</t>
  </si>
  <si>
    <t>3rd - 6th</t>
  </si>
  <si>
    <t>5th - 7th</t>
  </si>
  <si>
    <t>13th - 15th</t>
  </si>
  <si>
    <t>15th - 18th</t>
  </si>
  <si>
    <t>20th -22th</t>
  </si>
  <si>
    <t>28th - 30th</t>
  </si>
  <si>
    <t>27th - 29th</t>
  </si>
  <si>
    <t>1st - 3rd</t>
  </si>
  <si>
    <t>23th - 24th</t>
  </si>
  <si>
    <t>Payment Projections</t>
  </si>
  <si>
    <t>Average</t>
  </si>
  <si>
    <t>Multiple vendor</t>
  </si>
  <si>
    <t>Week wise payments</t>
  </si>
  <si>
    <t>New Import VAT</t>
  </si>
  <si>
    <t>19th</t>
  </si>
  <si>
    <t>Flight Logistics</t>
  </si>
  <si>
    <t>Total Projected Payments</t>
  </si>
  <si>
    <t xml:space="preserve">06'17 Total Projected Payment </t>
  </si>
  <si>
    <t>Friday</t>
  </si>
  <si>
    <t>HMRC VAT Payments - On Import</t>
  </si>
  <si>
    <t>Monday</t>
  </si>
  <si>
    <t>Account wise payments</t>
  </si>
  <si>
    <t>Import Taxes</t>
  </si>
  <si>
    <t>Distribution</t>
  </si>
  <si>
    <t>Draw</t>
  </si>
  <si>
    <t>Investor</t>
  </si>
  <si>
    <t>Accountant</t>
  </si>
  <si>
    <t>Main Supplier</t>
  </si>
  <si>
    <t>Actual - As per Client</t>
  </si>
  <si>
    <t>Frq.</t>
  </si>
  <si>
    <t>Beauty Product LLC</t>
  </si>
  <si>
    <t>Check with Client before Projection</t>
  </si>
  <si>
    <t>Check with Client after 2 month from last purchase. i.e. if Last purchase on Jan'17 then check before April'17 projections.</t>
  </si>
  <si>
    <t>Check with Client before every month Projections</t>
  </si>
  <si>
    <t>B2B - 1</t>
  </si>
  <si>
    <t>B2B - 2</t>
  </si>
  <si>
    <t>B2B - 3</t>
  </si>
  <si>
    <t>B2B - 4</t>
  </si>
  <si>
    <t>B2B - 5</t>
  </si>
  <si>
    <t>B2B - 6</t>
  </si>
  <si>
    <t>B2B - 7</t>
  </si>
  <si>
    <t>B2B - 8</t>
  </si>
  <si>
    <t>B2B - 9</t>
  </si>
  <si>
    <t>B2B - 10</t>
  </si>
  <si>
    <t>B2B - 11</t>
  </si>
  <si>
    <t>B2B - 12</t>
  </si>
  <si>
    <t>B2B - 13</t>
  </si>
  <si>
    <t>B2B - 14</t>
  </si>
  <si>
    <t>B2B - 15</t>
  </si>
  <si>
    <t>B2B - 16</t>
  </si>
  <si>
    <t>B2B - 17</t>
  </si>
  <si>
    <t>B2B - 18</t>
  </si>
  <si>
    <t>B2B - 19</t>
  </si>
  <si>
    <t>PB Tech - Analysis</t>
  </si>
  <si>
    <t>PB Tech - Accounting</t>
  </si>
  <si>
    <t>B2C - Multiple Customers</t>
  </si>
  <si>
    <t>Total sale including Taxes @20%</t>
  </si>
  <si>
    <t>Partner - 1</t>
  </si>
  <si>
    <t>Partner - 2</t>
  </si>
  <si>
    <t>Taxes Payments on Import</t>
  </si>
  <si>
    <t>Local Taxes Payments (Quarterly)</t>
  </si>
  <si>
    <t>Client Client's Withdraw</t>
  </si>
  <si>
    <t>Client Client Loan Account</t>
  </si>
  <si>
    <t>C Campion Client</t>
  </si>
  <si>
    <t>Client's Withdraw</t>
  </si>
  <si>
    <t>Licenses</t>
  </si>
  <si>
    <t xml:space="preserve">List of Questions Answered by Client before Projections Start </t>
  </si>
  <si>
    <t>Other factor Brand change, Product quality, discount offer, Promotion etc.</t>
  </si>
  <si>
    <t>Credit Assumed to be increase due to increase in sale</t>
  </si>
  <si>
    <t>Average Distribution for last few of total sales</t>
  </si>
  <si>
    <t>Commission structure need to understand</t>
  </si>
  <si>
    <t>of Total purchases projections.</t>
  </si>
  <si>
    <t>Every alternate month based on average of last 6 months ignoring 0 spent</t>
  </si>
  <si>
    <t>Flat fee - Paid in every quarter - June, Sept, Dec &amp; March</t>
  </si>
  <si>
    <t>Data Hero</t>
  </si>
  <si>
    <t>GoDaddy.com, Inc.</t>
  </si>
  <si>
    <t>Order hive</t>
  </si>
  <si>
    <t>SoHo House monthly Subscription</t>
  </si>
  <si>
    <t>Average of last 6 month. Ignoring the month if less that $1 K spent</t>
  </si>
  <si>
    <t>As per Contract of 50 hours @ $11 per hour - Monthly fee</t>
  </si>
  <si>
    <t>Amount £</t>
  </si>
  <si>
    <t>Loan Re-Pmt</t>
  </si>
  <si>
    <t>Total Projected Cash Pmts for Expenses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</si>
</sst>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  <numFmt numFmtId="172" formatCode="[$£-809]#,##0.00;\-[$£-809]#,##0.00"/>
    <numFmt numFmtId="173" formatCode="0.0###%"/>
    <numFmt numFmtId="174" formatCode="0.0#"/>
    <numFmt numFmtId="175" formatCode="0.00###%"/>
    <numFmt numFmtId="176" formatCode="#,##0.0_ ;\-#,##0.0"/>
    <numFmt numFmtId="177" formatCode="#,##0.000000\ ;\-#,##0.000000"/>
    <numFmt numFmtId="178" formatCode="d/mm/yyyy"/>
    <numFmt numFmtId="179" formatCode="0.0%"/>
    <numFmt numFmtId="180" formatCode="[$£-809]#,##0.00"/>
    <numFmt numFmtId="181" formatCode="[$-409]dddd\,\ mmmm\ dd\,\ yyyy"/>
    <numFmt numFmtId="182" formatCode="[$-409]mmm\-yy;@"/>
    <numFmt numFmtId="183" formatCode="_-[$£-809]* #,##0.00_-;\-[$£-809]* #,##0.00_-;_-[$£-809]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00000%"/>
    <numFmt numFmtId="189" formatCode="mmmm\-yyyy"/>
    <numFmt numFmtId="190" formatCode="_-[$£-809]* #,##0.0_-;\-[$£-809]* #,##0.0_-;_-[$£-809]* &quot;-&quot;??_-;_-@_-"/>
    <numFmt numFmtId="191" formatCode="_-[$£-809]* #,##0_-;\-[$£-809]* #,##0_-;_-[$£-809]* &quot;-&quot;??_-;_-@_-"/>
    <numFmt numFmtId="192" formatCode="[$£-809]#,##0.0"/>
    <numFmt numFmtId="193" formatCode="[$£-809]#,##0"/>
    <numFmt numFmtId="194" formatCode="0.0000000"/>
    <numFmt numFmtId="195" formatCode="0.000000"/>
    <numFmt numFmtId="196" formatCode="_(* #,##0.0_);_(* \(#,##0.0\);_(* &quot;-&quot;??_);_(@_)"/>
    <numFmt numFmtId="197" formatCode="_(* #,##0_);_(* \(#,##0\);_(* &quot;-&quot;??_);_(@_)"/>
    <numFmt numFmtId="198" formatCode="[$£-809]#,##0.0;\-[$£-809]#,##0.0"/>
    <numFmt numFmtId="199" formatCode="[$£-809]#,##0;\-[$£-809]#,##0"/>
    <numFmt numFmtId="200" formatCode="0.0000"/>
    <numFmt numFmtId="201" formatCode="0.000"/>
    <numFmt numFmtId="202" formatCode="0.0"/>
    <numFmt numFmtId="203" formatCode="[$-409]h:mm:ss\ AM/PM"/>
    <numFmt numFmtId="204" formatCode="mm\-ddd\-yy"/>
    <numFmt numFmtId="205" formatCode="dd\-mm\-yy"/>
    <numFmt numFmtId="206" formatCode="[$£-809]#,##0;[Red]\-[$£-809]#,##0"/>
    <numFmt numFmtId="207" formatCode="0.00_);[Red]\(0.00\)"/>
    <numFmt numFmtId="208" formatCode="0.0_);[Red]\(0.0\)"/>
    <numFmt numFmtId="209" formatCode="0_);[Red]\(0\)"/>
    <numFmt numFmtId="210" formatCode="[$£-809]#,##0.00;[Red]\-[$£-809]#,##0.00"/>
    <numFmt numFmtId="211" formatCode="mmm\-yyyy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.00000000"/>
    <numFmt numFmtId="215" formatCode="_([$€-2]\ * #,##0.00_);_([$€-2]\ * \(#,##0.00\);_([$€-2]\ * &quot;-&quot;??_);_(@_)"/>
  </numFmts>
  <fonts count="69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sz val="1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29">
    <xf numFmtId="0" fontId="0" fillId="0" borderId="0" xfId="0" applyAlignment="1">
      <alignment vertical="center"/>
    </xf>
    <xf numFmtId="172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2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72" fontId="3" fillId="0" borderId="10" xfId="0" applyNumberFormat="1" applyFont="1" applyFill="1" applyBorder="1" applyAlignment="1" applyProtection="1">
      <alignment vertical="center"/>
      <protection/>
    </xf>
    <xf numFmtId="180" fontId="0" fillId="0" borderId="0" xfId="0" applyNumberFormat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8" fontId="1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65" fillId="0" borderId="0" xfId="0" applyNumberFormat="1" applyFont="1" applyFill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7" fillId="7" borderId="0" xfId="0" applyFont="1" applyFill="1" applyAlignment="1">
      <alignment vertical="center"/>
    </xf>
    <xf numFmtId="0" fontId="67" fillId="9" borderId="0" xfId="0" applyFont="1" applyFill="1" applyAlignment="1">
      <alignment vertical="center"/>
    </xf>
    <xf numFmtId="0" fontId="67" fillId="35" borderId="0" xfId="0" applyFont="1" applyFill="1" applyAlignment="1">
      <alignment vertical="center"/>
    </xf>
    <xf numFmtId="0" fontId="67" fillId="17" borderId="0" xfId="0" applyFont="1" applyFill="1" applyAlignment="1">
      <alignment vertical="center"/>
    </xf>
    <xf numFmtId="0" fontId="68" fillId="0" borderId="14" xfId="0" applyFont="1" applyFill="1" applyBorder="1" applyAlignment="1">
      <alignment horizontal="center" vertical="center"/>
    </xf>
    <xf numFmtId="183" fontId="68" fillId="0" borderId="14" xfId="0" applyNumberFormat="1" applyFont="1" applyFill="1" applyBorder="1" applyAlignment="1">
      <alignment horizontal="center" vertical="center"/>
    </xf>
    <xf numFmtId="0" fontId="38" fillId="36" borderId="15" xfId="0" applyFont="1" applyFill="1" applyBorder="1" applyAlignment="1">
      <alignment horizontal="center" vertical="center" wrapText="1"/>
    </xf>
    <xf numFmtId="0" fontId="38" fillId="36" borderId="16" xfId="0" applyFont="1" applyFill="1" applyBorder="1" applyAlignment="1">
      <alignment horizontal="center" vertical="center" wrapText="1"/>
    </xf>
    <xf numFmtId="0" fontId="38" fillId="36" borderId="17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8" xfId="0" applyFont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19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9" fontId="35" fillId="0" borderId="0" xfId="6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9" fontId="35" fillId="0" borderId="0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vertical="center"/>
    </xf>
    <xf numFmtId="9" fontId="35" fillId="0" borderId="2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9" fontId="35" fillId="0" borderId="0" xfId="0" applyNumberFormat="1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9" fontId="35" fillId="0" borderId="12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11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44" fontId="35" fillId="0" borderId="0" xfId="44" applyFont="1" applyBorder="1" applyAlignment="1">
      <alignment horizontal="center" vertical="center"/>
    </xf>
    <xf numFmtId="172" fontId="40" fillId="0" borderId="0" xfId="0" applyNumberFormat="1" applyFont="1" applyFill="1" applyBorder="1" applyAlignment="1" applyProtection="1">
      <alignment vertical="center"/>
      <protection/>
    </xf>
    <xf numFmtId="172" fontId="41" fillId="0" borderId="19" xfId="0" applyNumberFormat="1" applyFont="1" applyFill="1" applyBorder="1" applyAlignment="1" applyProtection="1">
      <alignment vertical="center" wrapText="1"/>
      <protection/>
    </xf>
    <xf numFmtId="0" fontId="35" fillId="0" borderId="19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37" borderId="0" xfId="0" applyFont="1" applyFill="1" applyAlignment="1">
      <alignment horizontal="center" vertical="center"/>
    </xf>
    <xf numFmtId="0" fontId="36" fillId="37" borderId="0" xfId="0" applyFont="1" applyFill="1" applyAlignment="1">
      <alignment horizontal="center" vertical="center" wrapText="1"/>
    </xf>
    <xf numFmtId="183" fontId="8" fillId="0" borderId="0" xfId="42" applyNumberFormat="1" applyFont="1" applyFill="1" applyAlignment="1">
      <alignment horizontal="right" vertical="center"/>
    </xf>
    <xf numFmtId="183" fontId="38" fillId="36" borderId="16" xfId="42" applyNumberFormat="1" applyFont="1" applyFill="1" applyBorder="1" applyAlignment="1">
      <alignment horizontal="center" vertical="center" wrapText="1"/>
    </xf>
    <xf numFmtId="183" fontId="0" fillId="0" borderId="0" xfId="42" applyNumberFormat="1" applyFont="1" applyAlignment="1">
      <alignment horizontal="right" vertical="center"/>
    </xf>
    <xf numFmtId="183" fontId="35" fillId="0" borderId="0" xfId="0" applyNumberFormat="1" applyFont="1" applyBorder="1" applyAlignment="1">
      <alignment horizontal="center" vertical="center"/>
    </xf>
    <xf numFmtId="191" fontId="35" fillId="0" borderId="0" xfId="44" applyNumberFormat="1" applyFont="1" applyBorder="1" applyAlignment="1">
      <alignment horizontal="center" vertical="center"/>
    </xf>
    <xf numFmtId="191" fontId="36" fillId="0" borderId="0" xfId="44" applyNumberFormat="1" applyFont="1" applyBorder="1" applyAlignment="1">
      <alignment horizontal="center" vertical="center"/>
    </xf>
    <xf numFmtId="191" fontId="65" fillId="0" borderId="0" xfId="44" applyNumberFormat="1" applyFont="1" applyFill="1" applyAlignment="1">
      <alignment vertical="center"/>
    </xf>
    <xf numFmtId="191" fontId="35" fillId="0" borderId="23" xfId="44" applyNumberFormat="1" applyFont="1" applyBorder="1" applyAlignment="1">
      <alignment horizontal="right" vertical="center" wrapText="1"/>
    </xf>
    <xf numFmtId="191" fontId="35" fillId="0" borderId="0" xfId="44" applyNumberFormat="1" applyFont="1" applyAlignment="1">
      <alignment horizontal="right" vertical="center" wrapText="1"/>
    </xf>
    <xf numFmtId="191" fontId="35" fillId="0" borderId="0" xfId="44" applyNumberFormat="1" applyFont="1" applyAlignment="1">
      <alignment horizontal="right" vertical="center"/>
    </xf>
    <xf numFmtId="191" fontId="36" fillId="0" borderId="23" xfId="44" applyNumberFormat="1" applyFont="1" applyBorder="1" applyAlignment="1">
      <alignment horizontal="right" vertical="center"/>
    </xf>
    <xf numFmtId="191" fontId="67" fillId="7" borderId="0" xfId="0" applyNumberFormat="1" applyFont="1" applyFill="1" applyAlignment="1">
      <alignment vertical="center"/>
    </xf>
    <xf numFmtId="191" fontId="67" fillId="9" borderId="0" xfId="0" applyNumberFormat="1" applyFont="1" applyFill="1" applyAlignment="1">
      <alignment vertical="center"/>
    </xf>
    <xf numFmtId="191" fontId="67" fillId="35" borderId="0" xfId="0" applyNumberFormat="1" applyFont="1" applyFill="1" applyAlignment="1">
      <alignment vertical="center"/>
    </xf>
    <xf numFmtId="191" fontId="67" fillId="17" borderId="0" xfId="0" applyNumberFormat="1" applyFont="1" applyFill="1" applyAlignment="1">
      <alignment vertical="center"/>
    </xf>
    <xf numFmtId="191" fontId="67" fillId="0" borderId="0" xfId="0" applyNumberFormat="1" applyFont="1" applyFill="1" applyAlignment="1">
      <alignment vertical="center"/>
    </xf>
    <xf numFmtId="191" fontId="68" fillId="0" borderId="14" xfId="0" applyNumberFormat="1" applyFont="1" applyFill="1" applyBorder="1" applyAlignment="1">
      <alignment vertical="center"/>
    </xf>
    <xf numFmtId="0" fontId="36" fillId="36" borderId="0" xfId="0" applyFont="1" applyFill="1" applyAlignment="1">
      <alignment vertical="center"/>
    </xf>
    <xf numFmtId="0" fontId="36" fillId="36" borderId="0" xfId="0" applyFont="1" applyFill="1" applyAlignment="1">
      <alignment horizontal="center" vertical="center"/>
    </xf>
    <xf numFmtId="191" fontId="35" fillId="0" borderId="0" xfId="0" applyNumberFormat="1" applyFont="1" applyAlignment="1">
      <alignment vertical="center"/>
    </xf>
    <xf numFmtId="0" fontId="36" fillId="37" borderId="24" xfId="57" applyFont="1" applyFill="1" applyBorder="1">
      <alignment vertical="center"/>
      <protection/>
    </xf>
    <xf numFmtId="0" fontId="36" fillId="37" borderId="24" xfId="57" applyFont="1" applyFill="1" applyBorder="1" applyAlignment="1">
      <alignment vertical="center" wrapText="1"/>
      <protection/>
    </xf>
    <xf numFmtId="0" fontId="35" fillId="4" borderId="24" xfId="57" applyFont="1" applyFill="1" applyBorder="1">
      <alignment vertical="center"/>
      <protection/>
    </xf>
    <xf numFmtId="193" fontId="35" fillId="4" borderId="24" xfId="57" applyNumberFormat="1" applyFont="1" applyFill="1" applyBorder="1">
      <alignment vertical="center"/>
      <protection/>
    </xf>
    <xf numFmtId="9" fontId="35" fillId="0" borderId="24" xfId="61" applyFont="1" applyBorder="1" applyAlignment="1">
      <alignment vertical="center" wrapText="1"/>
    </xf>
    <xf numFmtId="0" fontId="35" fillId="38" borderId="24" xfId="57" applyFont="1" applyFill="1" applyBorder="1">
      <alignment vertical="center"/>
      <protection/>
    </xf>
    <xf numFmtId="193" fontId="35" fillId="0" borderId="24" xfId="57" applyNumberFormat="1" applyFont="1" applyBorder="1">
      <alignment vertical="center"/>
      <protection/>
    </xf>
    <xf numFmtId="0" fontId="35" fillId="0" borderId="24" xfId="57" applyFont="1" applyBorder="1">
      <alignment vertical="center"/>
      <protection/>
    </xf>
    <xf numFmtId="0" fontId="35" fillId="39" borderId="24" xfId="57" applyFont="1" applyFill="1" applyBorder="1">
      <alignment vertical="center"/>
      <protection/>
    </xf>
    <xf numFmtId="193" fontId="35" fillId="39" borderId="24" xfId="57" applyNumberFormat="1" applyFont="1" applyFill="1" applyBorder="1">
      <alignment vertical="center"/>
      <protection/>
    </xf>
    <xf numFmtId="9" fontId="35" fillId="39" borderId="24" xfId="60" applyFont="1" applyFill="1" applyBorder="1" applyAlignment="1">
      <alignment vertical="center"/>
    </xf>
    <xf numFmtId="0" fontId="35" fillId="40" borderId="24" xfId="57" applyFont="1" applyFill="1" applyBorder="1">
      <alignment vertical="center"/>
      <protection/>
    </xf>
    <xf numFmtId="193" fontId="35" fillId="40" borderId="24" xfId="57" applyNumberFormat="1" applyFont="1" applyFill="1" applyBorder="1">
      <alignment vertical="center"/>
      <protection/>
    </xf>
    <xf numFmtId="9" fontId="35" fillId="40" borderId="24" xfId="60" applyFont="1" applyFill="1" applyBorder="1" applyAlignment="1">
      <alignment vertical="center"/>
    </xf>
    <xf numFmtId="191" fontId="35" fillId="0" borderId="0" xfId="44" applyNumberFormat="1" applyFont="1" applyAlignment="1">
      <alignment vertical="center"/>
    </xf>
    <xf numFmtId="191" fontId="36" fillId="0" borderId="23" xfId="44" applyNumberFormat="1" applyFont="1" applyBorder="1" applyAlignment="1">
      <alignment vertical="center"/>
    </xf>
    <xf numFmtId="0" fontId="35" fillId="21" borderId="24" xfId="57" applyFont="1" applyFill="1" applyBorder="1">
      <alignment vertical="center"/>
      <protection/>
    </xf>
    <xf numFmtId="193" fontId="35" fillId="21" borderId="24" xfId="57" applyNumberFormat="1" applyFont="1" applyFill="1" applyBorder="1">
      <alignment vertical="center"/>
      <protection/>
    </xf>
    <xf numFmtId="9" fontId="35" fillId="21" borderId="24" xfId="60" applyFont="1" applyFill="1" applyBorder="1" applyAlignment="1">
      <alignment vertical="center"/>
    </xf>
    <xf numFmtId="0" fontId="35" fillId="34" borderId="24" xfId="57" applyFont="1" applyFill="1" applyBorder="1">
      <alignment vertical="center"/>
      <protection/>
    </xf>
    <xf numFmtId="193" fontId="35" fillId="34" borderId="24" xfId="57" applyNumberFormat="1" applyFont="1" applyFill="1" applyBorder="1">
      <alignment vertical="center"/>
      <protection/>
    </xf>
    <xf numFmtId="9" fontId="35" fillId="34" borderId="24" xfId="60" applyFont="1" applyFill="1" applyBorder="1" applyAlignment="1">
      <alignment vertical="center"/>
    </xf>
    <xf numFmtId="193" fontId="36" fillId="40" borderId="24" xfId="57" applyNumberFormat="1" applyFont="1" applyFill="1" applyBorder="1">
      <alignment vertical="center"/>
      <protection/>
    </xf>
    <xf numFmtId="9" fontId="36" fillId="40" borderId="24" xfId="60" applyFont="1" applyFill="1" applyBorder="1" applyAlignment="1">
      <alignment vertical="center"/>
    </xf>
    <xf numFmtId="0" fontId="36" fillId="41" borderId="24" xfId="57" applyFont="1" applyFill="1" applyBorder="1">
      <alignment vertical="center"/>
      <protection/>
    </xf>
    <xf numFmtId="193" fontId="36" fillId="41" borderId="24" xfId="57" applyNumberFormat="1" applyFont="1" applyFill="1" applyBorder="1">
      <alignment vertical="center"/>
      <protection/>
    </xf>
    <xf numFmtId="9" fontId="36" fillId="41" borderId="24" xfId="60" applyFont="1" applyFill="1" applyBorder="1" applyAlignment="1">
      <alignment vertical="center"/>
    </xf>
    <xf numFmtId="0" fontId="67" fillId="0" borderId="0" xfId="0" applyFont="1" applyAlignment="1">
      <alignment vertical="center"/>
    </xf>
    <xf numFmtId="191" fontId="67" fillId="0" borderId="0" xfId="44" applyNumberFormat="1" applyFont="1" applyAlignment="1">
      <alignment vertical="center"/>
    </xf>
    <xf numFmtId="191" fontId="35" fillId="0" borderId="0" xfId="44" applyNumberFormat="1" applyFont="1" applyFill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191" fontId="36" fillId="0" borderId="23" xfId="44" applyNumberFormat="1" applyFont="1" applyFill="1" applyBorder="1" applyAlignment="1">
      <alignment vertical="center"/>
    </xf>
    <xf numFmtId="172" fontId="42" fillId="0" borderId="0" xfId="0" applyNumberFormat="1" applyFont="1" applyFill="1" applyBorder="1" applyAlignment="1" applyProtection="1">
      <alignment vertical="center"/>
      <protection/>
    </xf>
    <xf numFmtId="189" fontId="42" fillId="0" borderId="0" xfId="0" applyNumberFormat="1" applyFont="1" applyFill="1" applyBorder="1" applyAlignment="1" applyProtection="1">
      <alignment vertical="center"/>
      <protection/>
    </xf>
    <xf numFmtId="0" fontId="36" fillId="42" borderId="24" xfId="57" applyFont="1" applyFill="1" applyBorder="1">
      <alignment vertical="center"/>
      <protection/>
    </xf>
    <xf numFmtId="0" fontId="36" fillId="8" borderId="0" xfId="0" applyFont="1" applyFill="1" applyAlignment="1">
      <alignment horizontal="center" vertical="center"/>
    </xf>
    <xf numFmtId="191" fontId="36" fillId="8" borderId="0" xfId="0" applyNumberFormat="1" applyFont="1" applyFill="1" applyAlignment="1">
      <alignment horizontal="center" vertical="center"/>
    </xf>
    <xf numFmtId="0" fontId="35" fillId="42" borderId="0" xfId="57" applyFont="1" applyFill="1">
      <alignment vertical="center"/>
      <protection/>
    </xf>
    <xf numFmtId="193" fontId="35" fillId="42" borderId="0" xfId="57" applyNumberFormat="1" applyFont="1" applyFill="1">
      <alignment vertical="center"/>
      <protection/>
    </xf>
    <xf numFmtId="9" fontId="35" fillId="42" borderId="0" xfId="61" applyFont="1" applyFill="1" applyAlignment="1">
      <alignment vertical="center" wrapText="1"/>
    </xf>
    <xf numFmtId="0" fontId="35" fillId="38" borderId="0" xfId="57" applyFont="1" applyFill="1">
      <alignment vertical="center"/>
      <protection/>
    </xf>
    <xf numFmtId="193" fontId="35" fillId="0" borderId="0" xfId="57" applyNumberFormat="1" applyFont="1">
      <alignment vertical="center"/>
      <protection/>
    </xf>
    <xf numFmtId="0" fontId="35" fillId="0" borderId="0" xfId="57" applyFont="1">
      <alignment vertical="center"/>
      <protection/>
    </xf>
    <xf numFmtId="172" fontId="41" fillId="0" borderId="0" xfId="0" applyNumberFormat="1" applyFont="1" applyFill="1" applyBorder="1" applyAlignment="1" applyProtection="1">
      <alignment vertical="center"/>
      <protection/>
    </xf>
    <xf numFmtId="191" fontId="35" fillId="39" borderId="24" xfId="44" applyNumberFormat="1" applyFont="1" applyFill="1" applyBorder="1" applyAlignment="1">
      <alignment vertical="center"/>
    </xf>
    <xf numFmtId="9" fontId="35" fillId="0" borderId="0" xfId="60" applyFont="1" applyAlignment="1">
      <alignment vertical="center"/>
    </xf>
    <xf numFmtId="172" fontId="41" fillId="39" borderId="0" xfId="0" applyNumberFormat="1" applyFont="1" applyFill="1" applyBorder="1" applyAlignment="1" applyProtection="1">
      <alignment vertical="center"/>
      <protection/>
    </xf>
    <xf numFmtId="191" fontId="35" fillId="39" borderId="0" xfId="44" applyNumberFormat="1" applyFont="1" applyFill="1" applyAlignment="1">
      <alignment vertical="center"/>
    </xf>
    <xf numFmtId="9" fontId="41" fillId="39" borderId="0" xfId="60" applyFont="1" applyFill="1" applyBorder="1" applyAlignment="1" applyProtection="1">
      <alignment vertical="center"/>
      <protection/>
    </xf>
    <xf numFmtId="0" fontId="35" fillId="14" borderId="24" xfId="57" applyFont="1" applyFill="1" applyBorder="1">
      <alignment vertical="center"/>
      <protection/>
    </xf>
    <xf numFmtId="191" fontId="35" fillId="14" borderId="24" xfId="44" applyNumberFormat="1" applyFont="1" applyFill="1" applyBorder="1" applyAlignment="1">
      <alignment vertical="center"/>
    </xf>
    <xf numFmtId="9" fontId="35" fillId="14" borderId="24" xfId="60" applyFont="1" applyFill="1" applyBorder="1" applyAlignment="1">
      <alignment vertical="center"/>
    </xf>
    <xf numFmtId="0" fontId="35" fillId="42" borderId="24" xfId="57" applyFont="1" applyFill="1" applyBorder="1">
      <alignment vertical="center"/>
      <protection/>
    </xf>
    <xf numFmtId="191" fontId="35" fillId="42" borderId="24" xfId="44" applyNumberFormat="1" applyFont="1" applyFill="1" applyBorder="1" applyAlignment="1">
      <alignment vertical="center"/>
    </xf>
    <xf numFmtId="9" fontId="35" fillId="42" borderId="24" xfId="60" applyFont="1" applyFill="1" applyBorder="1" applyAlignment="1">
      <alignment vertical="center"/>
    </xf>
    <xf numFmtId="172" fontId="41" fillId="39" borderId="0" xfId="0" applyNumberFormat="1" applyFont="1" applyFill="1" applyBorder="1" applyAlignment="1" applyProtection="1">
      <alignment horizontal="left" vertical="center"/>
      <protection/>
    </xf>
    <xf numFmtId="0" fontId="35" fillId="35" borderId="24" xfId="57" applyFont="1" applyFill="1" applyBorder="1">
      <alignment vertical="center"/>
      <protection/>
    </xf>
    <xf numFmtId="191" fontId="35" fillId="35" borderId="24" xfId="44" applyNumberFormat="1" applyFont="1" applyFill="1" applyBorder="1" applyAlignment="1">
      <alignment vertical="center"/>
    </xf>
    <xf numFmtId="9" fontId="35" fillId="35" borderId="24" xfId="6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91" fontId="35" fillId="34" borderId="24" xfId="44" applyNumberFormat="1" applyFont="1" applyFill="1" applyBorder="1" applyAlignment="1">
      <alignment vertical="center"/>
    </xf>
    <xf numFmtId="0" fontId="35" fillId="43" borderId="24" xfId="57" applyFont="1" applyFill="1" applyBorder="1">
      <alignment vertical="center"/>
      <protection/>
    </xf>
    <xf numFmtId="191" fontId="36" fillId="43" borderId="24" xfId="44" applyNumberFormat="1" applyFont="1" applyFill="1" applyBorder="1" applyAlignment="1">
      <alignment vertical="center"/>
    </xf>
    <xf numFmtId="9" fontId="36" fillId="43" borderId="24" xfId="60" applyFont="1" applyFill="1" applyBorder="1" applyAlignment="1">
      <alignment vertical="center"/>
    </xf>
    <xf numFmtId="183" fontId="35" fillId="0" borderId="0" xfId="44" applyNumberFormat="1" applyFont="1" applyAlignment="1">
      <alignment vertical="center"/>
    </xf>
    <xf numFmtId="0" fontId="40" fillId="39" borderId="10" xfId="0" applyNumberFormat="1" applyFont="1" applyFill="1" applyBorder="1" applyAlignment="1" applyProtection="1">
      <alignment vertical="center"/>
      <protection/>
    </xf>
    <xf numFmtId="0" fontId="36" fillId="33" borderId="0" xfId="57" applyFont="1" applyFill="1">
      <alignment vertical="center"/>
      <protection/>
    </xf>
    <xf numFmtId="191" fontId="36" fillId="33" borderId="0" xfId="44" applyNumberFormat="1" applyFont="1" applyFill="1" applyAlignment="1">
      <alignment vertical="center"/>
    </xf>
    <xf numFmtId="9" fontId="36" fillId="33" borderId="0" xfId="60" applyFont="1" applyFill="1" applyAlignment="1">
      <alignment vertical="center"/>
    </xf>
    <xf numFmtId="172" fontId="41" fillId="0" borderId="0" xfId="0" applyNumberFormat="1" applyFont="1" applyFill="1" applyBorder="1" applyAlignment="1" applyProtection="1">
      <alignment vertical="center" wrapText="1"/>
      <protection/>
    </xf>
    <xf numFmtId="0" fontId="40" fillId="0" borderId="25" xfId="0" applyNumberFormat="1" applyFont="1" applyFill="1" applyBorder="1" applyAlignment="1" applyProtection="1">
      <alignment vertical="center"/>
      <protection/>
    </xf>
    <xf numFmtId="191" fontId="40" fillId="0" borderId="25" xfId="44" applyNumberFormat="1" applyFont="1" applyFill="1" applyBorder="1" applyAlignment="1" applyProtection="1">
      <alignment vertical="center"/>
      <protection/>
    </xf>
    <xf numFmtId="172" fontId="41" fillId="0" borderId="0" xfId="0" applyNumberFormat="1" applyFont="1" applyFill="1" applyBorder="1" applyAlignment="1" applyProtection="1">
      <alignment horizontal="left" vertical="center"/>
      <protection/>
    </xf>
    <xf numFmtId="191" fontId="41" fillId="0" borderId="0" xfId="44" applyNumberFormat="1" applyFont="1" applyFill="1" applyBorder="1" applyAlignment="1" applyProtection="1">
      <alignment vertical="center"/>
      <protection/>
    </xf>
    <xf numFmtId="0" fontId="40" fillId="0" borderId="10" xfId="0" applyNumberFormat="1" applyFont="1" applyFill="1" applyBorder="1" applyAlignment="1" applyProtection="1">
      <alignment vertical="center"/>
      <protection/>
    </xf>
    <xf numFmtId="191" fontId="40" fillId="0" borderId="10" xfId="44" applyNumberFormat="1" applyFont="1" applyFill="1" applyBorder="1" applyAlignment="1" applyProtection="1">
      <alignment vertical="center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199" fontId="35" fillId="0" borderId="0" xfId="0" applyNumberFormat="1" applyFont="1" applyAlignment="1">
      <alignment vertical="center"/>
    </xf>
    <xf numFmtId="191" fontId="40" fillId="0" borderId="0" xfId="0" applyNumberFormat="1" applyFont="1" applyFill="1" applyBorder="1" applyAlignment="1" applyProtection="1">
      <alignment vertical="center"/>
      <protection/>
    </xf>
    <xf numFmtId="0" fontId="36" fillId="8" borderId="26" xfId="0" applyFont="1" applyFill="1" applyBorder="1" applyAlignment="1">
      <alignment horizontal="center" vertical="center"/>
    </xf>
    <xf numFmtId="172" fontId="36" fillId="8" borderId="27" xfId="0" applyNumberFormat="1" applyFont="1" applyFill="1" applyBorder="1" applyAlignment="1" applyProtection="1">
      <alignment horizontal="center" vertical="center" wrapText="1"/>
      <protection/>
    </xf>
    <xf numFmtId="191" fontId="36" fillId="8" borderId="27" xfId="0" applyNumberFormat="1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>
      <alignment horizontal="center" vertical="center"/>
    </xf>
    <xf numFmtId="172" fontId="41" fillId="44" borderId="28" xfId="0" applyNumberFormat="1" applyFont="1" applyFill="1" applyBorder="1" applyAlignment="1" applyProtection="1">
      <alignment vertical="center" wrapText="1"/>
      <protection/>
    </xf>
    <xf numFmtId="191" fontId="41" fillId="0" borderId="28" xfId="44" applyNumberFormat="1" applyFont="1" applyFill="1" applyBorder="1" applyAlignment="1" applyProtection="1">
      <alignment vertical="center"/>
      <protection/>
    </xf>
    <xf numFmtId="1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 wrapText="1"/>
    </xf>
    <xf numFmtId="191" fontId="35" fillId="0" borderId="0" xfId="44" applyNumberFormat="1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40" fillId="0" borderId="24" xfId="0" applyNumberFormat="1" applyFont="1" applyFill="1" applyBorder="1" applyAlignment="1" applyProtection="1">
      <alignment vertical="center" wrapText="1"/>
      <protection/>
    </xf>
    <xf numFmtId="199" fontId="41" fillId="0" borderId="0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vertical="center" wrapText="1"/>
      <protection/>
    </xf>
    <xf numFmtId="191" fontId="40" fillId="0" borderId="0" xfId="44" applyNumberFormat="1" applyFont="1" applyFill="1" applyBorder="1" applyAlignment="1" applyProtection="1">
      <alignment vertical="center"/>
      <protection/>
    </xf>
    <xf numFmtId="0" fontId="35" fillId="33" borderId="29" xfId="0" applyFont="1" applyFill="1" applyBorder="1" applyAlignment="1">
      <alignment vertical="center"/>
    </xf>
    <xf numFmtId="0" fontId="40" fillId="33" borderId="30" xfId="0" applyNumberFormat="1" applyFont="1" applyFill="1" applyBorder="1" applyAlignment="1" applyProtection="1">
      <alignment vertical="center" wrapText="1"/>
      <protection/>
    </xf>
    <xf numFmtId="191" fontId="40" fillId="33" borderId="31" xfId="44" applyNumberFormat="1" applyFont="1" applyFill="1" applyBorder="1" applyAlignment="1" applyProtection="1">
      <alignment vertical="center"/>
      <protection/>
    </xf>
    <xf numFmtId="0" fontId="40" fillId="33" borderId="0" xfId="0" applyNumberFormat="1" applyFont="1" applyFill="1" applyBorder="1" applyAlignment="1" applyProtection="1">
      <alignment vertical="center" wrapText="1"/>
      <protection/>
    </xf>
    <xf numFmtId="9" fontId="40" fillId="0" borderId="0" xfId="60" applyFont="1" applyFill="1" applyBorder="1" applyAlignment="1" applyProtection="1">
      <alignment vertical="center"/>
      <protection/>
    </xf>
    <xf numFmtId="0" fontId="40" fillId="0" borderId="23" xfId="0" applyNumberFormat="1" applyFont="1" applyFill="1" applyBorder="1" applyAlignment="1" applyProtection="1">
      <alignment vertical="center" wrapText="1"/>
      <protection/>
    </xf>
    <xf numFmtId="191" fontId="35" fillId="0" borderId="32" xfId="44" applyNumberFormat="1" applyFont="1" applyBorder="1" applyAlignment="1">
      <alignment vertical="center"/>
    </xf>
    <xf numFmtId="191" fontId="40" fillId="0" borderId="23" xfId="44" applyNumberFormat="1" applyFont="1" applyFill="1" applyBorder="1" applyAlignment="1" applyProtection="1">
      <alignment vertical="center"/>
      <protection/>
    </xf>
    <xf numFmtId="199" fontId="35" fillId="33" borderId="0" xfId="0" applyNumberFormat="1" applyFont="1" applyFill="1" applyAlignment="1">
      <alignment vertical="center"/>
    </xf>
    <xf numFmtId="199" fontId="36" fillId="33" borderId="0" xfId="0" applyNumberFormat="1" applyFont="1" applyFill="1" applyBorder="1" applyAlignment="1" applyProtection="1">
      <alignment horizontal="center" vertical="center" wrapText="1"/>
      <protection/>
    </xf>
    <xf numFmtId="199" fontId="36" fillId="0" borderId="0" xfId="0" applyNumberFormat="1" applyFont="1" applyFill="1" applyBorder="1" applyAlignment="1" applyProtection="1">
      <alignment vertical="center"/>
      <protection/>
    </xf>
    <xf numFmtId="199" fontId="40" fillId="0" borderId="0" xfId="0" applyNumberFormat="1" applyFont="1" applyFill="1" applyBorder="1" applyAlignment="1" applyProtection="1">
      <alignment vertical="center"/>
      <protection/>
    </xf>
    <xf numFmtId="199" fontId="41" fillId="0" borderId="0" xfId="44" applyNumberFormat="1" applyFont="1" applyFill="1" applyBorder="1" applyAlignment="1" applyProtection="1">
      <alignment vertical="center"/>
      <protection/>
    </xf>
    <xf numFmtId="199" fontId="43" fillId="0" borderId="0" xfId="44" applyNumberFormat="1" applyFont="1" applyFill="1" applyBorder="1" applyAlignment="1" applyProtection="1">
      <alignment vertical="top" wrapText="1"/>
      <protection/>
    </xf>
    <xf numFmtId="199" fontId="35" fillId="33" borderId="0" xfId="44" applyNumberFormat="1" applyFont="1" applyFill="1" applyAlignment="1">
      <alignment vertical="center"/>
    </xf>
    <xf numFmtId="199" fontId="40" fillId="0" borderId="10" xfId="0" applyNumberFormat="1" applyFont="1" applyFill="1" applyBorder="1" applyAlignment="1" applyProtection="1">
      <alignment vertical="center"/>
      <protection/>
    </xf>
    <xf numFmtId="199" fontId="40" fillId="0" borderId="10" xfId="44" applyNumberFormat="1" applyFont="1" applyFill="1" applyBorder="1" applyAlignment="1" applyProtection="1">
      <alignment vertical="center"/>
      <protection/>
    </xf>
    <xf numFmtId="199" fontId="35" fillId="0" borderId="0" xfId="44" applyNumberFormat="1" applyFont="1" applyAlignment="1">
      <alignment vertical="center"/>
    </xf>
    <xf numFmtId="199" fontId="40" fillId="0" borderId="25" xfId="0" applyNumberFormat="1" applyFont="1" applyFill="1" applyBorder="1" applyAlignment="1" applyProtection="1">
      <alignment vertical="center"/>
      <protection/>
    </xf>
    <xf numFmtId="199" fontId="40" fillId="0" borderId="25" xfId="44" applyNumberFormat="1" applyFont="1" applyFill="1" applyBorder="1" applyAlignment="1" applyProtection="1">
      <alignment vertical="center"/>
      <protection/>
    </xf>
    <xf numFmtId="199" fontId="36" fillId="0" borderId="0" xfId="0" applyNumberFormat="1" applyFont="1" applyAlignment="1">
      <alignment horizontal="center" vertical="center"/>
    </xf>
    <xf numFmtId="199" fontId="35" fillId="0" borderId="0" xfId="0" applyNumberFormat="1" applyFont="1" applyFill="1" applyAlignment="1">
      <alignment vertical="center"/>
    </xf>
    <xf numFmtId="199" fontId="36" fillId="33" borderId="0" xfId="0" applyNumberFormat="1" applyFont="1" applyFill="1" applyBorder="1" applyAlignment="1" applyProtection="1">
      <alignment horizontal="center" vertical="center"/>
      <protection/>
    </xf>
    <xf numFmtId="199" fontId="35" fillId="0" borderId="0" xfId="0" applyNumberFormat="1" applyFont="1" applyFill="1" applyAlignment="1">
      <alignment horizontal="center" vertical="center"/>
    </xf>
    <xf numFmtId="199" fontId="35" fillId="33" borderId="0" xfId="0" applyNumberFormat="1" applyFont="1" applyFill="1" applyAlignment="1">
      <alignment horizontal="center" vertical="center"/>
    </xf>
    <xf numFmtId="199" fontId="41" fillId="40" borderId="0" xfId="0" applyNumberFormat="1" applyFont="1" applyFill="1" applyBorder="1" applyAlignment="1" applyProtection="1">
      <alignment vertical="center"/>
      <protection/>
    </xf>
    <xf numFmtId="199" fontId="41" fillId="33" borderId="0" xfId="44" applyNumberFormat="1" applyFont="1" applyFill="1" applyBorder="1" applyAlignment="1" applyProtection="1">
      <alignment vertical="center"/>
      <protection/>
    </xf>
    <xf numFmtId="199" fontId="41" fillId="17" borderId="0" xfId="0" applyNumberFormat="1" applyFont="1" applyFill="1" applyBorder="1" applyAlignment="1" applyProtection="1">
      <alignment vertical="center"/>
      <protection/>
    </xf>
    <xf numFmtId="199" fontId="41" fillId="33" borderId="0" xfId="0" applyNumberFormat="1" applyFont="1" applyFill="1" applyBorder="1" applyAlignment="1" applyProtection="1">
      <alignment horizontal="left" vertical="center"/>
      <protection/>
    </xf>
    <xf numFmtId="199" fontId="41" fillId="39" borderId="0" xfId="44" applyNumberFormat="1" applyFont="1" applyFill="1" applyBorder="1" applyAlignment="1" applyProtection="1">
      <alignment vertical="center"/>
      <protection/>
    </xf>
    <xf numFmtId="199" fontId="40" fillId="33" borderId="10" xfId="44" applyNumberFormat="1" applyFont="1" applyFill="1" applyBorder="1" applyAlignment="1" applyProtection="1">
      <alignment vertical="center"/>
      <protection/>
    </xf>
    <xf numFmtId="199" fontId="35" fillId="0" borderId="0" xfId="44" applyNumberFormat="1" applyFont="1" applyFill="1" applyAlignment="1">
      <alignment vertical="center"/>
    </xf>
    <xf numFmtId="199" fontId="41" fillId="33" borderId="0" xfId="0" applyNumberFormat="1" applyFont="1" applyFill="1" applyBorder="1" applyAlignment="1" applyProtection="1">
      <alignment vertical="center"/>
      <protection/>
    </xf>
    <xf numFmtId="199" fontId="41" fillId="35" borderId="0" xfId="0" applyNumberFormat="1" applyFont="1" applyFill="1" applyBorder="1" applyAlignment="1" applyProtection="1">
      <alignment vertical="center"/>
      <protection/>
    </xf>
    <xf numFmtId="199" fontId="40" fillId="33" borderId="25" xfId="44" applyNumberFormat="1" applyFont="1" applyFill="1" applyBorder="1" applyAlignment="1" applyProtection="1">
      <alignment vertical="center"/>
      <protection/>
    </xf>
    <xf numFmtId="199" fontId="41" fillId="39" borderId="0" xfId="0" applyNumberFormat="1" applyFont="1" applyFill="1" applyBorder="1" applyAlignment="1" applyProtection="1">
      <alignment vertical="center"/>
      <protection/>
    </xf>
    <xf numFmtId="0" fontId="36" fillId="39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183" fontId="35" fillId="0" borderId="0" xfId="0" applyNumberFormat="1" applyFont="1" applyAlignment="1">
      <alignment vertical="center"/>
    </xf>
    <xf numFmtId="0" fontId="36" fillId="42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42" borderId="33" xfId="0" applyFont="1" applyFill="1" applyBorder="1" applyAlignment="1">
      <alignment horizontal="center" vertical="center"/>
    </xf>
    <xf numFmtId="172" fontId="36" fillId="42" borderId="34" xfId="0" applyNumberFormat="1" applyFont="1" applyFill="1" applyBorder="1" applyAlignment="1" applyProtection="1">
      <alignment horizontal="center" vertical="center" wrapText="1"/>
      <protection/>
    </xf>
    <xf numFmtId="17" fontId="36" fillId="42" borderId="15" xfId="0" applyNumberFormat="1" applyFont="1" applyFill="1" applyBorder="1" applyAlignment="1" applyProtection="1">
      <alignment horizontal="center" vertical="center"/>
      <protection/>
    </xf>
    <xf numFmtId="17" fontId="36" fillId="42" borderId="16" xfId="0" applyNumberFormat="1" applyFont="1" applyFill="1" applyBorder="1" applyAlignment="1" applyProtection="1">
      <alignment horizontal="center" vertical="center"/>
      <protection/>
    </xf>
    <xf numFmtId="172" fontId="36" fillId="42" borderId="16" xfId="0" applyNumberFormat="1" applyFont="1" applyFill="1" applyBorder="1" applyAlignment="1" applyProtection="1">
      <alignment horizontal="center" vertical="center"/>
      <protection/>
    </xf>
    <xf numFmtId="17" fontId="36" fillId="42" borderId="35" xfId="0" applyNumberFormat="1" applyFont="1" applyFill="1" applyBorder="1" applyAlignment="1" applyProtection="1">
      <alignment horizontal="center" vertical="center"/>
      <protection/>
    </xf>
    <xf numFmtId="172" fontId="36" fillId="42" borderId="35" xfId="0" applyNumberFormat="1" applyFont="1" applyFill="1" applyBorder="1" applyAlignment="1" applyProtection="1">
      <alignment horizontal="center" vertical="center"/>
      <protection/>
    </xf>
    <xf numFmtId="17" fontId="36" fillId="42" borderId="33" xfId="0" applyNumberFormat="1" applyFont="1" applyFill="1" applyBorder="1" applyAlignment="1" applyProtection="1" quotePrefix="1">
      <alignment horizontal="center" vertical="center" wrapText="1"/>
      <protection/>
    </xf>
    <xf numFmtId="17" fontId="36" fillId="42" borderId="36" xfId="0" applyNumberFormat="1" applyFont="1" applyFill="1" applyBorder="1" applyAlignment="1" applyProtection="1" quotePrefix="1">
      <alignment horizontal="center" vertical="center" wrapText="1"/>
      <protection/>
    </xf>
    <xf numFmtId="17" fontId="36" fillId="33" borderId="37" xfId="0" applyNumberFormat="1" applyFont="1" applyFill="1" applyBorder="1" applyAlignment="1" applyProtection="1" quotePrefix="1">
      <alignment horizontal="center" vertical="center" wrapText="1"/>
      <protection/>
    </xf>
    <xf numFmtId="172" fontId="35" fillId="44" borderId="0" xfId="0" applyNumberFormat="1" applyFont="1" applyFill="1" applyBorder="1" applyAlignment="1" applyProtection="1">
      <alignment vertical="center" wrapText="1"/>
      <protection/>
    </xf>
    <xf numFmtId="191" fontId="35" fillId="0" borderId="0" xfId="44" applyNumberFormat="1" applyFont="1" applyFill="1" applyBorder="1" applyAlignment="1" applyProtection="1">
      <alignment vertical="center"/>
      <protection/>
    </xf>
    <xf numFmtId="191" fontId="35" fillId="0" borderId="38" xfId="44" applyNumberFormat="1" applyFont="1" applyFill="1" applyBorder="1" applyAlignment="1">
      <alignment vertical="center"/>
    </xf>
    <xf numFmtId="191" fontId="35" fillId="0" borderId="24" xfId="44" applyNumberFormat="1" applyFont="1" applyFill="1" applyBorder="1" applyAlignment="1">
      <alignment vertical="center"/>
    </xf>
    <xf numFmtId="191" fontId="35" fillId="0" borderId="24" xfId="44" applyNumberFormat="1" applyFont="1" applyBorder="1" applyAlignment="1">
      <alignment vertical="center"/>
    </xf>
    <xf numFmtId="191" fontId="36" fillId="33" borderId="39" xfId="44" applyNumberFormat="1" applyFont="1" applyFill="1" applyBorder="1" applyAlignment="1">
      <alignment vertical="center"/>
    </xf>
    <xf numFmtId="191" fontId="35" fillId="0" borderId="24" xfId="44" applyNumberFormat="1" applyFont="1" applyFill="1" applyBorder="1" applyAlignment="1">
      <alignment vertical="center"/>
    </xf>
    <xf numFmtId="191" fontId="35" fillId="39" borderId="24" xfId="44" applyNumberFormat="1" applyFont="1" applyFill="1" applyBorder="1" applyAlignment="1">
      <alignment vertical="center"/>
    </xf>
    <xf numFmtId="191" fontId="35" fillId="0" borderId="0" xfId="0" applyNumberFormat="1" applyFont="1" applyFill="1" applyAlignment="1">
      <alignment vertical="center"/>
    </xf>
    <xf numFmtId="191" fontId="35" fillId="0" borderId="38" xfId="44" applyNumberFormat="1" applyFont="1" applyBorder="1" applyAlignment="1">
      <alignment vertical="center"/>
    </xf>
    <xf numFmtId="191" fontId="35" fillId="0" borderId="24" xfId="44" applyNumberFormat="1" applyFont="1" applyBorder="1" applyAlignment="1">
      <alignment vertical="center"/>
    </xf>
    <xf numFmtId="0" fontId="36" fillId="0" borderId="10" xfId="0" applyNumberFormat="1" applyFont="1" applyFill="1" applyBorder="1" applyAlignment="1" applyProtection="1">
      <alignment vertical="center" wrapText="1"/>
      <protection/>
    </xf>
    <xf numFmtId="191" fontId="36" fillId="0" borderId="10" xfId="44" applyNumberFormat="1" applyFont="1" applyFill="1" applyBorder="1" applyAlignment="1" applyProtection="1">
      <alignment vertical="center"/>
      <protection/>
    </xf>
    <xf numFmtId="191" fontId="36" fillId="0" borderId="0" xfId="44" applyNumberFormat="1" applyFont="1" applyBorder="1" applyAlignment="1">
      <alignment vertical="center"/>
    </xf>
    <xf numFmtId="191" fontId="36" fillId="0" borderId="38" xfId="44" applyNumberFormat="1" applyFont="1" applyFill="1" applyBorder="1" applyAlignment="1" applyProtection="1">
      <alignment vertical="center"/>
      <protection/>
    </xf>
    <xf numFmtId="191" fontId="36" fillId="0" borderId="24" xfId="44" applyNumberFormat="1" applyFont="1" applyFill="1" applyBorder="1" applyAlignment="1" applyProtection="1">
      <alignment vertical="center"/>
      <protection/>
    </xf>
    <xf numFmtId="191" fontId="36" fillId="33" borderId="39" xfId="44" applyNumberFormat="1" applyFont="1" applyFill="1" applyBorder="1" applyAlignment="1" applyProtection="1">
      <alignment vertical="center"/>
      <protection/>
    </xf>
    <xf numFmtId="0" fontId="35" fillId="0" borderId="20" xfId="0" applyFont="1" applyBorder="1" applyAlignment="1">
      <alignment vertical="center"/>
    </xf>
    <xf numFmtId="0" fontId="36" fillId="0" borderId="21" xfId="0" applyNumberFormat="1" applyFont="1" applyFill="1" applyBorder="1" applyAlignment="1" applyProtection="1">
      <alignment vertical="center" wrapText="1"/>
      <protection/>
    </xf>
    <xf numFmtId="191" fontId="36" fillId="0" borderId="21" xfId="44" applyNumberFormat="1" applyFont="1" applyFill="1" applyBorder="1" applyAlignment="1" applyProtection="1">
      <alignment vertical="center"/>
      <protection/>
    </xf>
    <xf numFmtId="191" fontId="36" fillId="0" borderId="30" xfId="44" applyNumberFormat="1" applyFont="1" applyFill="1" applyBorder="1" applyAlignment="1" applyProtection="1">
      <alignment vertical="center"/>
      <protection/>
    </xf>
    <xf numFmtId="191" fontId="36" fillId="0" borderId="40" xfId="44" applyNumberFormat="1" applyFont="1" applyFill="1" applyBorder="1" applyAlignment="1" applyProtection="1">
      <alignment vertical="center"/>
      <protection/>
    </xf>
    <xf numFmtId="191" fontId="36" fillId="0" borderId="31" xfId="44" applyNumberFormat="1" applyFont="1" applyFill="1" applyBorder="1" applyAlignment="1" applyProtection="1">
      <alignment vertical="center"/>
      <protection/>
    </xf>
    <xf numFmtId="191" fontId="36" fillId="33" borderId="41" xfId="44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191" fontId="36" fillId="0" borderId="0" xfId="44" applyNumberFormat="1" applyFont="1" applyFill="1" applyBorder="1" applyAlignment="1" applyProtection="1">
      <alignment vertical="center"/>
      <protection/>
    </xf>
    <xf numFmtId="191" fontId="36" fillId="0" borderId="42" xfId="44" applyNumberFormat="1" applyFont="1" applyFill="1" applyBorder="1" applyAlignment="1" applyProtection="1">
      <alignment vertical="center"/>
      <protection/>
    </xf>
    <xf numFmtId="191" fontId="36" fillId="0" borderId="43" xfId="44" applyNumberFormat="1" applyFont="1" applyFill="1" applyBorder="1" applyAlignment="1" applyProtection="1">
      <alignment vertical="center"/>
      <protection/>
    </xf>
    <xf numFmtId="191" fontId="36" fillId="33" borderId="44" xfId="44" applyNumberFormat="1" applyFont="1" applyFill="1" applyBorder="1" applyAlignment="1" applyProtection="1">
      <alignment vertical="center"/>
      <protection/>
    </xf>
    <xf numFmtId="172" fontId="35" fillId="0" borderId="0" xfId="0" applyNumberFormat="1" applyFont="1" applyAlignment="1">
      <alignment vertical="center"/>
    </xf>
    <xf numFmtId="213" fontId="35" fillId="0" borderId="0" xfId="44" applyNumberFormat="1" applyFont="1" applyAlignment="1">
      <alignment vertical="center"/>
    </xf>
    <xf numFmtId="213" fontId="36" fillId="33" borderId="0" xfId="44" applyNumberFormat="1" applyFont="1" applyFill="1" applyAlignment="1">
      <alignment vertical="center"/>
    </xf>
    <xf numFmtId="213" fontId="36" fillId="0" borderId="0" xfId="44" applyNumberFormat="1" applyFont="1" applyFill="1" applyBorder="1" applyAlignment="1" applyProtection="1">
      <alignment vertical="center"/>
      <protection/>
    </xf>
    <xf numFmtId="9" fontId="36" fillId="39" borderId="0" xfId="60" applyFont="1" applyFill="1" applyBorder="1" applyAlignment="1" applyProtection="1">
      <alignment vertical="center"/>
      <protection/>
    </xf>
    <xf numFmtId="213" fontId="35" fillId="0" borderId="0" xfId="44" applyNumberFormat="1" applyFont="1" applyBorder="1" applyAlignment="1">
      <alignment vertical="center"/>
    </xf>
    <xf numFmtId="191" fontId="35" fillId="0" borderId="45" xfId="44" applyNumberFormat="1" applyFont="1" applyBorder="1" applyAlignment="1">
      <alignment vertical="center"/>
    </xf>
    <xf numFmtId="191" fontId="35" fillId="0" borderId="46" xfId="44" applyNumberFormat="1" applyFont="1" applyBorder="1" applyAlignment="1">
      <alignment vertical="center"/>
    </xf>
    <xf numFmtId="191" fontId="35" fillId="0" borderId="0" xfId="44" applyNumberFormat="1" applyFont="1" applyBorder="1" applyAlignment="1">
      <alignment vertical="center"/>
    </xf>
    <xf numFmtId="191" fontId="36" fillId="39" borderId="0" xfId="44" applyNumberFormat="1" applyFont="1" applyFill="1" applyAlignment="1">
      <alignment vertical="center"/>
    </xf>
    <xf numFmtId="191" fontId="36" fillId="33" borderId="23" xfId="44" applyNumberFormat="1" applyFont="1" applyFill="1" applyBorder="1" applyAlignment="1">
      <alignment vertical="center"/>
    </xf>
    <xf numFmtId="9" fontId="35" fillId="0" borderId="0" xfId="0" applyNumberFormat="1" applyFont="1" applyAlignment="1">
      <alignment vertical="center"/>
    </xf>
    <xf numFmtId="0" fontId="36" fillId="39" borderId="0" xfId="0" applyNumberFormat="1" applyFont="1" applyFill="1" applyBorder="1" applyAlignment="1" applyProtection="1">
      <alignment vertical="center" wrapText="1"/>
      <protection/>
    </xf>
    <xf numFmtId="9" fontId="35" fillId="39" borderId="0" xfId="0" applyNumberFormat="1" applyFont="1" applyFill="1" applyAlignment="1">
      <alignment vertical="center"/>
    </xf>
    <xf numFmtId="0" fontId="35" fillId="0" borderId="0" xfId="57" applyFont="1" applyFill="1">
      <alignment vertical="center"/>
      <protection/>
    </xf>
    <xf numFmtId="191" fontId="35" fillId="0" borderId="0" xfId="44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vertical="center" wrapText="1"/>
    </xf>
    <xf numFmtId="0" fontId="35" fillId="0" borderId="19" xfId="0" applyFont="1" applyFill="1" applyBorder="1" applyAlignment="1">
      <alignment vertical="center" wrapText="1"/>
    </xf>
    <xf numFmtId="199" fontId="36" fillId="0" borderId="0" xfId="0" applyNumberFormat="1" applyFont="1" applyFill="1" applyBorder="1" applyAlignment="1" applyProtection="1">
      <alignment horizontal="center" vertical="center"/>
      <protection/>
    </xf>
    <xf numFmtId="14" fontId="35" fillId="0" borderId="0" xfId="0" applyNumberFormat="1" applyFont="1" applyAlignment="1">
      <alignment vertical="center"/>
    </xf>
    <xf numFmtId="189" fontId="35" fillId="0" borderId="0" xfId="0" applyNumberFormat="1" applyFont="1" applyAlignment="1">
      <alignment vertical="center"/>
    </xf>
    <xf numFmtId="17" fontId="36" fillId="0" borderId="0" xfId="0" applyNumberFormat="1" applyFont="1" applyFill="1" applyBorder="1" applyAlignment="1" applyProtection="1">
      <alignment horizontal="center" vertical="center"/>
      <protection/>
    </xf>
    <xf numFmtId="17" fontId="36" fillId="33" borderId="0" xfId="0" applyNumberFormat="1" applyFont="1" applyFill="1" applyBorder="1" applyAlignment="1" applyProtection="1">
      <alignment horizontal="center" vertical="center"/>
      <protection/>
    </xf>
    <xf numFmtId="17" fontId="36" fillId="0" borderId="0" xfId="0" applyNumberFormat="1" applyFont="1" applyAlignment="1">
      <alignment horizontal="center" vertical="center"/>
    </xf>
    <xf numFmtId="17" fontId="41" fillId="0" borderId="0" xfId="0" applyNumberFormat="1" applyFont="1" applyFill="1" applyBorder="1" applyAlignment="1" applyProtection="1">
      <alignment horizontal="center" vertical="top" wrapText="1"/>
      <protection/>
    </xf>
    <xf numFmtId="17" fontId="36" fillId="33" borderId="0" xfId="0" applyNumberFormat="1" applyFont="1" applyFill="1" applyAlignment="1">
      <alignment horizontal="center" vertical="center"/>
    </xf>
    <xf numFmtId="15" fontId="36" fillId="36" borderId="0" xfId="0" applyNumberFormat="1" applyFont="1" applyFill="1" applyAlignment="1">
      <alignment horizontal="center" vertical="center"/>
    </xf>
    <xf numFmtId="0" fontId="36" fillId="0" borderId="23" xfId="0" applyFont="1" applyBorder="1" applyAlignment="1">
      <alignment horizontal="center" vertical="top"/>
    </xf>
    <xf numFmtId="0" fontId="36" fillId="0" borderId="23" xfId="0" applyFont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top"/>
    </xf>
    <xf numFmtId="172" fontId="42" fillId="42" borderId="0" xfId="0" applyNumberFormat="1" applyFont="1" applyFill="1" applyBorder="1" applyAlignment="1" applyProtection="1">
      <alignment horizontal="center" vertical="center"/>
      <protection/>
    </xf>
    <xf numFmtId="189" fontId="42" fillId="42" borderId="0" xfId="0" applyNumberFormat="1" applyFont="1" applyFill="1" applyBorder="1" applyAlignment="1" applyProtection="1">
      <alignment horizontal="center" vertical="center"/>
      <protection/>
    </xf>
    <xf numFmtId="0" fontId="36" fillId="36" borderId="0" xfId="0" applyFont="1" applyFill="1" applyAlignment="1">
      <alignment horizontal="center" vertical="center"/>
    </xf>
    <xf numFmtId="172" fontId="42" fillId="37" borderId="0" xfId="0" applyNumberFormat="1" applyFont="1" applyFill="1" applyBorder="1" applyAlignment="1" applyProtection="1">
      <alignment horizontal="center" vertical="center"/>
      <protection/>
    </xf>
    <xf numFmtId="189" fontId="42" fillId="37" borderId="0" xfId="0" applyNumberFormat="1" applyFont="1" applyFill="1" applyBorder="1" applyAlignment="1" applyProtection="1">
      <alignment horizontal="center" vertical="center"/>
      <protection/>
    </xf>
    <xf numFmtId="0" fontId="36" fillId="37" borderId="0" xfId="0" applyFont="1" applyFill="1" applyAlignment="1">
      <alignment horizontal="center" vertical="center" wrapText="1"/>
    </xf>
    <xf numFmtId="17" fontId="44" fillId="19" borderId="0" xfId="0" applyNumberFormat="1" applyFont="1" applyFill="1" applyAlignment="1">
      <alignment horizontal="center" vertical="center"/>
    </xf>
    <xf numFmtId="0" fontId="44" fillId="19" borderId="0" xfId="0" applyFont="1" applyFill="1" applyAlignment="1">
      <alignment horizontal="center" vertical="center"/>
    </xf>
    <xf numFmtId="0" fontId="63" fillId="39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32" fillId="37" borderId="0" xfId="0" applyFont="1" applyFill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199" fontId="42" fillId="0" borderId="0" xfId="0" applyNumberFormat="1" applyFont="1" applyFill="1" applyBorder="1" applyAlignment="1" applyProtection="1">
      <alignment horizontal="center" vertical="center"/>
      <protection/>
    </xf>
    <xf numFmtId="199" fontId="36" fillId="0" borderId="0" xfId="0" applyNumberFormat="1" applyFont="1" applyFill="1" applyBorder="1" applyAlignment="1" applyProtection="1">
      <alignment horizontal="center" vertical="center"/>
      <protection/>
    </xf>
    <xf numFmtId="199" fontId="40" fillId="0" borderId="0" xfId="0" applyNumberFormat="1" applyFont="1" applyFill="1" applyBorder="1" applyAlignment="1" applyProtection="1">
      <alignment horizontal="center" vertical="center"/>
      <protection/>
    </xf>
    <xf numFmtId="0" fontId="36" fillId="42" borderId="0" xfId="0" applyFont="1" applyFill="1" applyBorder="1" applyAlignment="1">
      <alignment horizontal="center" vertical="center"/>
    </xf>
    <xf numFmtId="0" fontId="36" fillId="39" borderId="0" xfId="0" applyFont="1" applyFill="1" applyAlignment="1">
      <alignment horizontal="center" vertical="center"/>
    </xf>
    <xf numFmtId="0" fontId="36" fillId="42" borderId="0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5"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Projected Cash Utilization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875"/>
          <c:y val="0.14175"/>
          <c:w val="0.6585"/>
          <c:h val="0.648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'June Cash Flow Projections'!$I$12:$I$16</c:f>
              <c:strCache/>
            </c:strRef>
          </c:cat>
          <c:val>
            <c:numRef>
              <c:f>'June Cash Flow Projections'!$J$12:$J$16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cat>
            <c:strRef>
              <c:f>'June Cash Flow Projections'!$I$12:$I$16</c:f>
              <c:strCache/>
            </c:strRef>
          </c:cat>
          <c:val>
            <c:numRef>
              <c:f>'June Cash Flow Projections'!$K$12:$K$16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175"/>
          <c:w val="0.9852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Projected Revenue Utilization</a:t>
            </a:r>
          </a:p>
        </c:rich>
      </c:tx>
      <c:layout>
        <c:manualLayout>
          <c:xMode val="factor"/>
          <c:yMode val="factor"/>
          <c:x val="0.005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135"/>
          <c:w val="0.66175"/>
          <c:h val="0.627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DC3E6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2F2F2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9D18E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'June P&amp;L Projections'!$H$6:$H$13</c:f>
              <c:strCache/>
            </c:strRef>
          </c:cat>
          <c:val>
            <c:numRef>
              <c:f>'June P&amp;L Projections'!$I$6:$I$13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cat>
            <c:strRef>
              <c:f>'June P&amp;L Projections'!$H$6:$H$13</c:f>
              <c:strCache/>
            </c:strRef>
          </c:cat>
          <c:val>
            <c:numRef>
              <c:f>'June P&amp;L Projections'!$J$6:$J$13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0525"/>
          <c:w val="0.93875"/>
          <c:h val="0.0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Week wise payments</a:t>
            </a:r>
          </a:p>
        </c:rich>
      </c:tx>
      <c:layout>
        <c:manualLayout>
          <c:xMode val="factor"/>
          <c:yMode val="factor"/>
          <c:x val="0.26925"/>
          <c:y val="-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16675"/>
          <c:w val="0.7325"/>
          <c:h val="0.669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9D18E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4B18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'June Payment Projections'!$I$3:$I$6</c:f>
              <c:strCache/>
            </c:strRef>
          </c:cat>
          <c:val>
            <c:numRef>
              <c:f>'June Payment Projections'!$J$3:$J$6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25"/>
          <c:y val="0.92925"/>
          <c:w val="0.833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Expense wise payments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25"/>
          <c:y val="0.0875"/>
          <c:w val="0.3635"/>
          <c:h val="0.346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ADC6E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4B9A4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BCBCB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D9A0"/>
              </a:solidFill>
              <a:ln w="3175">
                <a:noFill/>
              </a:ln>
            </c:spPr>
          </c:dPt>
          <c:cat>
            <c:strRef>
              <c:f>'June Payment Projections'!$L$3:$L$18</c:f>
              <c:strCache/>
            </c:strRef>
          </c:cat>
          <c:val>
            <c:numRef>
              <c:f>'June Payment Projections'!$M$3:$M$18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5"/>
          <c:y val="0.4645"/>
          <c:w val="0.55875"/>
          <c:h val="0.5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0</xdr:rowOff>
    </xdr:from>
    <xdr:to>
      <xdr:col>10</xdr:col>
      <xdr:colOff>1114425</xdr:colOff>
      <xdr:row>45</xdr:row>
      <xdr:rowOff>104775</xdr:rowOff>
    </xdr:to>
    <xdr:graphicFrame>
      <xdr:nvGraphicFramePr>
        <xdr:cNvPr id="1" name="Chart 2"/>
        <xdr:cNvGraphicFramePr/>
      </xdr:nvGraphicFramePr>
      <xdr:xfrm>
        <a:off x="7648575" y="2562225"/>
        <a:ext cx="45720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19050</xdr:rowOff>
    </xdr:from>
    <xdr:to>
      <xdr:col>11</xdr:col>
      <xdr:colOff>304800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6553200" y="2724150"/>
        <a:ext cx="5524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1514475</xdr:colOff>
      <xdr:row>5</xdr:row>
      <xdr:rowOff>76200</xdr:rowOff>
    </xdr:from>
    <xdr:to>
      <xdr:col>10</xdr:col>
      <xdr:colOff>552450</xdr:colOff>
      <xdr:row>5</xdr:row>
      <xdr:rowOff>123825</xdr:rowOff>
    </xdr:to>
    <xdr:sp>
      <xdr:nvSpPr>
        <xdr:cNvPr id="2" name="Right Arrow 1"/>
        <xdr:cNvSpPr>
          <a:spLocks/>
        </xdr:cNvSpPr>
      </xdr:nvSpPr>
      <xdr:spPr>
        <a:xfrm>
          <a:off x="11172825" y="1000125"/>
          <a:ext cx="561975" cy="47625"/>
        </a:xfrm>
        <a:prstGeom prst="rightArrow">
          <a:avLst>
            <a:gd name="adj" fmla="val 4593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19</xdr:row>
      <xdr:rowOff>142875</xdr:rowOff>
    </xdr:from>
    <xdr:to>
      <xdr:col>11</xdr:col>
      <xdr:colOff>981075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5943600" y="3609975"/>
        <a:ext cx="34099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1009650</xdr:colOff>
      <xdr:row>19</xdr:row>
      <xdr:rowOff>133350</xdr:rowOff>
    </xdr:from>
    <xdr:to>
      <xdr:col>16</xdr:col>
      <xdr:colOff>9525</xdr:colOff>
      <xdr:row>46</xdr:row>
      <xdr:rowOff>161925</xdr:rowOff>
    </xdr:to>
    <xdr:graphicFrame>
      <xdr:nvGraphicFramePr>
        <xdr:cNvPr id="2" name="Chart 3"/>
        <xdr:cNvGraphicFramePr/>
      </xdr:nvGraphicFramePr>
      <xdr:xfrm>
        <a:off x="9382125" y="3600450"/>
        <a:ext cx="470535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8.8515625" defaultRowHeight="12.75"/>
  <cols>
    <col min="1" max="1" width="13.8515625" style="24" customWidth="1"/>
    <col min="2" max="2" width="56.28125" style="24" customWidth="1"/>
    <col min="3" max="3" width="1.421875" style="24" customWidth="1"/>
    <col min="4" max="4" width="11.7109375" style="24" customWidth="1"/>
    <col min="5" max="5" width="1.28515625" style="24" customWidth="1"/>
    <col min="6" max="6" width="12.421875" style="103" bestFit="1" customWidth="1"/>
    <col min="7" max="8" width="8.8515625" style="24" customWidth="1"/>
    <col min="9" max="9" width="40.28125" style="24" customWidth="1"/>
    <col min="10" max="10" width="11.57421875" style="24" customWidth="1"/>
    <col min="11" max="11" width="18.7109375" style="24" customWidth="1"/>
    <col min="12" max="16384" width="8.8515625" style="24" customWidth="1"/>
  </cols>
  <sheetData>
    <row r="1" spans="1:7" ht="15.75">
      <c r="A1" s="309" t="s">
        <v>485</v>
      </c>
      <c r="B1" s="309"/>
      <c r="C1" s="309"/>
      <c r="D1" s="309"/>
      <c r="E1" s="309"/>
      <c r="F1" s="309"/>
      <c r="G1" s="299"/>
    </row>
    <row r="2" spans="1:6" ht="15.75">
      <c r="A2" s="309" t="s">
        <v>1104</v>
      </c>
      <c r="B2" s="309"/>
      <c r="C2" s="309"/>
      <c r="D2" s="309"/>
      <c r="E2" s="309"/>
      <c r="F2" s="309"/>
    </row>
    <row r="3" spans="1:6" ht="15.75">
      <c r="A3" s="310">
        <v>42916</v>
      </c>
      <c r="B3" s="310"/>
      <c r="C3" s="310"/>
      <c r="D3" s="310"/>
      <c r="E3" s="310"/>
      <c r="F3" s="310"/>
    </row>
    <row r="4" spans="1:6" ht="12.75">
      <c r="A4" s="311" t="s">
        <v>534</v>
      </c>
      <c r="B4" s="311"/>
      <c r="C4" s="101"/>
      <c r="D4" s="311" t="s">
        <v>1154</v>
      </c>
      <c r="E4" s="311"/>
      <c r="F4" s="311"/>
    </row>
    <row r="5" spans="1:9" ht="12.75">
      <c r="A5" s="102"/>
      <c r="B5" s="102"/>
      <c r="C5" s="101"/>
      <c r="D5" s="305">
        <f>+A3</f>
        <v>42916</v>
      </c>
      <c r="E5" s="305"/>
      <c r="F5" s="305"/>
      <c r="I5" s="298"/>
    </row>
    <row r="6" ht="12.75">
      <c r="A6" s="72" t="s">
        <v>487</v>
      </c>
    </row>
    <row r="7" spans="2:11" ht="25.5">
      <c r="B7" s="24" t="s">
        <v>486</v>
      </c>
      <c r="D7" s="103">
        <f>+'June Sales Projection-Working'!T45</f>
        <v>14781.035184886365</v>
      </c>
      <c r="E7" s="103"/>
      <c r="I7" s="104" t="s">
        <v>77</v>
      </c>
      <c r="J7" s="104" t="s">
        <v>706</v>
      </c>
      <c r="K7" s="105" t="s">
        <v>708</v>
      </c>
    </row>
    <row r="8" spans="2:11" ht="12.75">
      <c r="B8" s="24" t="s">
        <v>522</v>
      </c>
      <c r="D8" s="258">
        <f>+'Jun''17 Sales Projections '!C44</f>
        <v>29294.833000000002</v>
      </c>
      <c r="E8" s="103"/>
      <c r="I8" s="106" t="s">
        <v>717</v>
      </c>
      <c r="J8" s="107">
        <f>+F13+F74</f>
        <v>96550.86818488636</v>
      </c>
      <c r="K8" s="108">
        <v>1</v>
      </c>
    </row>
    <row r="9" spans="2:11" ht="12.75" hidden="1">
      <c r="B9" s="24" t="s">
        <v>516</v>
      </c>
      <c r="D9" s="103">
        <v>0</v>
      </c>
      <c r="E9" s="103"/>
      <c r="I9" s="109"/>
      <c r="J9" s="110"/>
      <c r="K9" s="111"/>
    </row>
    <row r="10" spans="2:11" ht="12.75" hidden="1">
      <c r="B10" s="24" t="s">
        <v>517</v>
      </c>
      <c r="D10" s="103">
        <v>0</v>
      </c>
      <c r="E10" s="103"/>
      <c r="I10" s="112" t="s">
        <v>709</v>
      </c>
      <c r="J10" s="113">
        <f>+E23</f>
        <v>0</v>
      </c>
      <c r="K10" s="114" t="e">
        <f>+J10/$I$4</f>
        <v>#DIV/0!</v>
      </c>
    </row>
    <row r="11" spans="4:11" ht="12.75" hidden="1">
      <c r="D11" s="103"/>
      <c r="E11" s="103"/>
      <c r="I11" s="115" t="s">
        <v>715</v>
      </c>
      <c r="J11" s="116">
        <f>+SUMIF($A$30:$A$64,$G11,$D$30:$D$64)</f>
        <v>0</v>
      </c>
      <c r="K11" s="117" t="e">
        <f>+J11/$I$4</f>
        <v>#DIV/0!</v>
      </c>
    </row>
    <row r="12" spans="4:11" ht="12.75">
      <c r="D12" s="103"/>
      <c r="E12" s="103"/>
      <c r="I12" s="112" t="s">
        <v>1156</v>
      </c>
      <c r="J12" s="113">
        <f>+F60</f>
        <v>37627.332</v>
      </c>
      <c r="K12" s="114">
        <f>+J12/$J$8</f>
        <v>0.38971510777041374</v>
      </c>
    </row>
    <row r="13" spans="1:11" ht="13.5" thickBot="1">
      <c r="A13" s="72"/>
      <c r="B13" s="72" t="s">
        <v>518</v>
      </c>
      <c r="D13" s="118"/>
      <c r="E13" s="118"/>
      <c r="F13" s="119">
        <f>+SUM(D7:D12)</f>
        <v>44075.86818488636</v>
      </c>
      <c r="H13" s="103"/>
      <c r="I13" s="120" t="s">
        <v>1155</v>
      </c>
      <c r="J13" s="121">
        <f>+D64</f>
        <v>0</v>
      </c>
      <c r="K13" s="122">
        <f>+J13/$J$8</f>
        <v>0</v>
      </c>
    </row>
    <row r="14" spans="4:11" ht="13.5" thickTop="1">
      <c r="D14" s="118"/>
      <c r="E14" s="118"/>
      <c r="F14" s="118"/>
      <c r="I14" s="123" t="s">
        <v>1093</v>
      </c>
      <c r="J14" s="124">
        <f>+D66</f>
        <v>5800</v>
      </c>
      <c r="K14" s="125">
        <f>+J14/J8</f>
        <v>0.06007196112305809</v>
      </c>
    </row>
    <row r="15" spans="1:11" ht="12.75">
      <c r="A15" s="72" t="s">
        <v>519</v>
      </c>
      <c r="D15" s="118"/>
      <c r="E15" s="118"/>
      <c r="F15" s="118"/>
      <c r="I15" s="115" t="s">
        <v>1135</v>
      </c>
      <c r="J15" s="126">
        <f>+D67</f>
        <v>1200</v>
      </c>
      <c r="K15" s="127">
        <f>+J15/$J$8</f>
        <v>0.012428681611667191</v>
      </c>
    </row>
    <row r="16" spans="2:11" ht="12.75">
      <c r="B16" s="64" t="s">
        <v>529</v>
      </c>
      <c r="D16" s="118"/>
      <c r="E16" s="118"/>
      <c r="F16" s="118"/>
      <c r="I16" s="128" t="s">
        <v>718</v>
      </c>
      <c r="J16" s="129">
        <f>+J8-SUM(J10:J15)</f>
        <v>51923.53618488636</v>
      </c>
      <c r="K16" s="130">
        <f>+J16/$J$8</f>
        <v>0.5377842494948609</v>
      </c>
    </row>
    <row r="17" spans="2:6" ht="12.75">
      <c r="B17" s="131" t="s">
        <v>20</v>
      </c>
      <c r="C17" s="131"/>
      <c r="D17" s="132">
        <f>_xlfn.IFERROR(VLOOKUP($B17,Payments!$A:$M,MATCH($A$3,Payments!$6:$6,1),0),0)</f>
        <v>1800</v>
      </c>
      <c r="E17" s="118"/>
      <c r="F17" s="118"/>
    </row>
    <row r="18" spans="2:6" ht="12.75">
      <c r="B18" s="131" t="s">
        <v>21</v>
      </c>
      <c r="C18" s="131"/>
      <c r="D18" s="132">
        <f>_xlfn.IFERROR(VLOOKUP($B18,Payments!$A:$M,MATCH($A$3,Payments!$6:$6,1),0),0)</f>
        <v>3089.392</v>
      </c>
      <c r="E18" s="118"/>
      <c r="F18" s="118"/>
    </row>
    <row r="19" spans="2:6" ht="12.75">
      <c r="B19" s="131" t="s">
        <v>22</v>
      </c>
      <c r="C19" s="131"/>
      <c r="D19" s="132">
        <f>_xlfn.IFERROR(VLOOKUP($B19,Payments!$A:$M,MATCH($A$3,Payments!$6:$6,1),0),0)</f>
        <v>0</v>
      </c>
      <c r="E19" s="118"/>
      <c r="F19" s="118"/>
    </row>
    <row r="20" spans="2:6" ht="12.75">
      <c r="B20" s="131" t="s">
        <v>23</v>
      </c>
      <c r="C20" s="131"/>
      <c r="D20" s="132">
        <f>_xlfn.IFERROR(VLOOKUP($B20,Payments!$A:$M,MATCH($A$3,Payments!$6:$6,1),0),0)</f>
        <v>0</v>
      </c>
      <c r="E20" s="118"/>
      <c r="F20" s="118"/>
    </row>
    <row r="21" spans="2:6" ht="12.75">
      <c r="B21" s="131" t="s">
        <v>24</v>
      </c>
      <c r="C21" s="131"/>
      <c r="D21" s="132">
        <v>18600</v>
      </c>
      <c r="E21" s="118"/>
      <c r="F21" s="118"/>
    </row>
    <row r="22" spans="2:6" ht="12.75">
      <c r="B22" s="131" t="s">
        <v>25</v>
      </c>
      <c r="C22" s="131"/>
      <c r="D22" s="132">
        <f>_xlfn.IFERROR(VLOOKUP($B22,Payments!$A:$M,MATCH($A$3,Payments!$6:$6,1),0),0)</f>
        <v>0</v>
      </c>
      <c r="E22" s="118"/>
      <c r="F22" s="118"/>
    </row>
    <row r="23" spans="2:6" ht="12.75">
      <c r="B23" s="131" t="s">
        <v>26</v>
      </c>
      <c r="C23" s="131"/>
      <c r="D23" s="132">
        <f>_xlfn.IFERROR(VLOOKUP($B23,Payments!$A:$M,MATCH($A$3,Payments!$6:$6,1),0),0)</f>
        <v>0</v>
      </c>
      <c r="E23" s="118"/>
      <c r="F23" s="118"/>
    </row>
    <row r="24" spans="2:6" ht="12.75">
      <c r="B24" s="131" t="s">
        <v>34</v>
      </c>
      <c r="C24" s="131"/>
      <c r="D24" s="132">
        <f>_xlfn.IFERROR(VLOOKUP($B24,Payments!$A:$M,MATCH($A$3,Payments!$6:$6,1),0),0)</f>
        <v>5018</v>
      </c>
      <c r="E24" s="118"/>
      <c r="F24" s="118"/>
    </row>
    <row r="25" spans="2:6" ht="12.75">
      <c r="B25" s="131" t="s">
        <v>35</v>
      </c>
      <c r="C25" s="131"/>
      <c r="D25" s="132">
        <f>_xlfn.IFERROR(VLOOKUP($B25,Payments!$A:$M,MATCH($A$3,Payments!$6:$6,1),0),0)</f>
        <v>912.4159999999999</v>
      </c>
      <c r="E25" s="118"/>
      <c r="F25" s="118"/>
    </row>
    <row r="26" spans="2:6" ht="12.75">
      <c r="B26" s="131" t="s">
        <v>36</v>
      </c>
      <c r="C26" s="131"/>
      <c r="D26" s="132">
        <f>_xlfn.IFERROR(VLOOKUP($B26,Payments!$A:$M,MATCH($A$3,Payments!$6:$6,1),0),0)</f>
        <v>325.2666666666667</v>
      </c>
      <c r="E26" s="118"/>
      <c r="F26" s="118"/>
    </row>
    <row r="27" spans="2:6" ht="12.75">
      <c r="B27" s="131" t="s">
        <v>37</v>
      </c>
      <c r="C27" s="131"/>
      <c r="D27" s="132">
        <f>_xlfn.IFERROR(VLOOKUP($B27,Payments!$A:$M,MATCH($A$3,Payments!$6:$6,1),0),0)</f>
        <v>0</v>
      </c>
      <c r="E27" s="118"/>
      <c r="F27" s="118"/>
    </row>
    <row r="28" spans="2:6" ht="12.75">
      <c r="B28" s="131" t="s">
        <v>38</v>
      </c>
      <c r="C28" s="131"/>
      <c r="D28" s="132">
        <f>_xlfn.IFERROR(VLOOKUP($B28,Payments!$A:$M,MATCH($A$3,Payments!$6:$6,1),0),0)</f>
        <v>425.59</v>
      </c>
      <c r="E28" s="118"/>
      <c r="F28" s="118"/>
    </row>
    <row r="29" spans="2:6" ht="12.75">
      <c r="B29" s="131" t="s">
        <v>39</v>
      </c>
      <c r="C29" s="131"/>
      <c r="D29" s="132">
        <f>_xlfn.IFERROR(VLOOKUP($B29,Payments!$A:$M,MATCH($A$3,Payments!$6:$6,1),0),0)</f>
        <v>0</v>
      </c>
      <c r="E29" s="118"/>
      <c r="F29" s="118"/>
    </row>
    <row r="30" spans="2:6" ht="12.75">
      <c r="B30" s="131" t="s">
        <v>40</v>
      </c>
      <c r="C30" s="131"/>
      <c r="D30" s="132">
        <f>_xlfn.IFERROR(VLOOKUP($B30,Payments!$A:$M,MATCH($A$3,Payments!$6:$6,1),0),0)</f>
        <v>0</v>
      </c>
      <c r="E30" s="118"/>
      <c r="F30" s="118"/>
    </row>
    <row r="31" spans="2:6" ht="12.75">
      <c r="B31" s="131" t="s">
        <v>41</v>
      </c>
      <c r="C31" s="131"/>
      <c r="D31" s="132">
        <f>_xlfn.IFERROR(VLOOKUP($B31,Payments!$A:$M,MATCH($A$3,Payments!$6:$6,1),0),0)</f>
        <v>253.99</v>
      </c>
      <c r="E31" s="118"/>
      <c r="F31" s="118"/>
    </row>
    <row r="32" spans="2:6" ht="12.75">
      <c r="B32" s="131" t="s">
        <v>42</v>
      </c>
      <c r="C32" s="131"/>
      <c r="D32" s="132">
        <f>_xlfn.IFERROR(VLOOKUP($B32,Payments!$A:$M,MATCH($A$3,Payments!$6:$6,1),0),0)</f>
        <v>2570.874</v>
      </c>
      <c r="E32" s="118"/>
      <c r="F32" s="118"/>
    </row>
    <row r="33" spans="2:6" ht="12.75">
      <c r="B33" s="131" t="s">
        <v>43</v>
      </c>
      <c r="C33" s="131"/>
      <c r="D33" s="132">
        <f>_xlfn.IFERROR(VLOOKUP($B33,Payments!$A:$M,MATCH($A$3,Payments!$6:$6,1),0),0)</f>
        <v>0</v>
      </c>
      <c r="E33" s="118"/>
      <c r="F33" s="118"/>
    </row>
    <row r="34" spans="2:6" ht="12.75">
      <c r="B34" s="131" t="s">
        <v>44</v>
      </c>
      <c r="C34" s="131"/>
      <c r="D34" s="132">
        <f>_xlfn.IFERROR(VLOOKUP($B34,Payments!$A:$M,MATCH($A$3,Payments!$6:$6,1),0),0)</f>
        <v>0</v>
      </c>
      <c r="E34" s="118"/>
      <c r="F34" s="118"/>
    </row>
    <row r="35" spans="2:6" ht="12.75">
      <c r="B35" s="131" t="s">
        <v>45</v>
      </c>
      <c r="C35" s="131"/>
      <c r="D35" s="132">
        <f>_xlfn.IFERROR(VLOOKUP($B35,Payments!$A:$M,MATCH($A$3,Payments!$6:$6,1),0),0)</f>
        <v>0</v>
      </c>
      <c r="E35" s="118"/>
      <c r="F35" s="118"/>
    </row>
    <row r="36" spans="2:6" ht="12.75">
      <c r="B36" s="131" t="s">
        <v>46</v>
      </c>
      <c r="C36" s="131"/>
      <c r="D36" s="132">
        <f>_xlfn.IFERROR(VLOOKUP($B36,Payments!$A:$M,MATCH($A$3,Payments!$6:$6,1),0),0)</f>
        <v>95.836</v>
      </c>
      <c r="E36" s="118"/>
      <c r="F36" s="118"/>
    </row>
    <row r="37" spans="2:6" ht="12.75">
      <c r="B37" s="131" t="s">
        <v>47</v>
      </c>
      <c r="C37" s="131"/>
      <c r="D37" s="132">
        <f>_xlfn.IFERROR(VLOOKUP($B37,Payments!$A:$M,MATCH($A$3,Payments!$6:$6,1),0),0)</f>
        <v>150</v>
      </c>
      <c r="E37" s="118"/>
      <c r="F37" s="118"/>
    </row>
    <row r="38" spans="2:6" ht="12.75">
      <c r="B38" s="131" t="s">
        <v>48</v>
      </c>
      <c r="C38" s="131"/>
      <c r="D38" s="132">
        <f>_xlfn.IFERROR(VLOOKUP($B38,Payments!$A:$M,MATCH($A$3,Payments!$6:$6,1),0),0)</f>
        <v>9.49</v>
      </c>
      <c r="E38" s="118"/>
      <c r="F38" s="118"/>
    </row>
    <row r="39" spans="2:6" ht="12.75">
      <c r="B39" s="131" t="s">
        <v>49</v>
      </c>
      <c r="C39" s="131"/>
      <c r="D39" s="132">
        <f>_xlfn.IFERROR(VLOOKUP($B39,Payments!$A:$M,MATCH($A$3,Payments!$6:$6,1),0),0)</f>
        <v>43.64333333333334</v>
      </c>
      <c r="E39" s="118"/>
      <c r="F39" s="118"/>
    </row>
    <row r="40" spans="2:6" ht="12.75">
      <c r="B40" s="131" t="s">
        <v>50</v>
      </c>
      <c r="C40" s="131"/>
      <c r="D40" s="132">
        <f>_xlfn.IFERROR(VLOOKUP($B40,Payments!$A:$M,MATCH($A$3,Payments!$6:$6,1),0),0)</f>
        <v>0</v>
      </c>
      <c r="E40" s="118"/>
      <c r="F40" s="118"/>
    </row>
    <row r="41" spans="2:6" ht="12.75">
      <c r="B41" s="131" t="s">
        <v>51</v>
      </c>
      <c r="C41" s="131"/>
      <c r="D41" s="132">
        <f>_xlfn.IFERROR(VLOOKUP($B41,Payments!$A:$M,MATCH($A$3,Payments!$6:$6,1),0),0)</f>
        <v>0</v>
      </c>
      <c r="E41" s="118"/>
      <c r="F41" s="118"/>
    </row>
    <row r="42" spans="2:6" ht="12.75">
      <c r="B42" s="131" t="s">
        <v>1139</v>
      </c>
      <c r="C42" s="131"/>
      <c r="D42" s="132">
        <f>_xlfn.IFERROR(VLOOKUP($B42,Payments!$A:$M,MATCH($A$3,Payments!$6:$6,1),0),0)</f>
        <v>0</v>
      </c>
      <c r="E42" s="118"/>
      <c r="F42" s="118"/>
    </row>
    <row r="43" spans="2:6" ht="12.75">
      <c r="B43" s="131" t="s">
        <v>53</v>
      </c>
      <c r="C43" s="131"/>
      <c r="D43" s="132">
        <f>_xlfn.IFERROR(VLOOKUP($B43,Payments!$A:$M,MATCH($A$3,Payments!$6:$6,1),0),0)</f>
        <v>0</v>
      </c>
      <c r="E43" s="118"/>
      <c r="F43" s="118"/>
    </row>
    <row r="44" spans="2:6" ht="12.75">
      <c r="B44" s="131" t="s">
        <v>54</v>
      </c>
      <c r="C44" s="131"/>
      <c r="D44" s="132">
        <f>_xlfn.IFERROR(VLOOKUP($B44,Payments!$A:$M,MATCH($A$3,Payments!$6:$6,1),0),0)</f>
        <v>0</v>
      </c>
      <c r="E44" s="118"/>
      <c r="F44" s="118"/>
    </row>
    <row r="45" spans="2:6" ht="12.75">
      <c r="B45" s="131" t="s">
        <v>55</v>
      </c>
      <c r="C45" s="131"/>
      <c r="D45" s="132">
        <f>_xlfn.IFERROR(VLOOKUP($B45,Payments!$A:$M,MATCH($A$3,Payments!$6:$6,1),0),0)</f>
        <v>177.8</v>
      </c>
      <c r="E45" s="118"/>
      <c r="F45" s="118"/>
    </row>
    <row r="46" spans="2:6" ht="12.75">
      <c r="B46" s="131" t="s">
        <v>56</v>
      </c>
      <c r="C46" s="131"/>
      <c r="D46" s="132">
        <f>_xlfn.IFERROR(VLOOKUP($B46,Payments!$A:$M,MATCH($A$3,Payments!$6:$6,1),0),0)</f>
        <v>0</v>
      </c>
      <c r="E46" s="118"/>
      <c r="F46" s="118"/>
    </row>
    <row r="47" spans="2:6" ht="12.75">
      <c r="B47" s="131" t="s">
        <v>57</v>
      </c>
      <c r="C47" s="131"/>
      <c r="D47" s="132">
        <f>_xlfn.IFERROR(VLOOKUP($B47,Payments!$A:$M,MATCH($A$3,Payments!$6:$6,1),0),0)</f>
        <v>8</v>
      </c>
      <c r="E47" s="118"/>
      <c r="F47" s="118"/>
    </row>
    <row r="48" spans="2:6" ht="12.75">
      <c r="B48" s="131" t="s">
        <v>58</v>
      </c>
      <c r="C48" s="131"/>
      <c r="D48" s="132">
        <f>_xlfn.IFERROR(VLOOKUP($B48,Payments!$A:$M,MATCH($A$3,Payments!$6:$6,1),0),0)</f>
        <v>48.516000000000005</v>
      </c>
      <c r="E48" s="118"/>
      <c r="F48" s="118"/>
    </row>
    <row r="49" spans="2:6" ht="12.75">
      <c r="B49" s="131" t="s">
        <v>59</v>
      </c>
      <c r="C49" s="131"/>
      <c r="D49" s="132">
        <f>_xlfn.IFERROR(VLOOKUP($B49,Payments!$A:$M,MATCH($A$3,Payments!$6:$6,1),0),0)</f>
        <v>0</v>
      </c>
      <c r="E49" s="118"/>
      <c r="F49" s="118"/>
    </row>
    <row r="50" spans="2:6" ht="12.75">
      <c r="B50" s="131" t="s">
        <v>60</v>
      </c>
      <c r="C50" s="131"/>
      <c r="D50" s="132">
        <f>_xlfn.IFERROR(VLOOKUP($B50,Payments!$A:$M,MATCH($A$3,Payments!$6:$6,1),0),0)</f>
        <v>9.916</v>
      </c>
      <c r="E50" s="118"/>
      <c r="F50" s="118"/>
    </row>
    <row r="51" spans="2:6" ht="12.75">
      <c r="B51" s="131" t="s">
        <v>61</v>
      </c>
      <c r="C51" s="131"/>
      <c r="D51" s="132">
        <f>_xlfn.IFERROR(VLOOKUP($B51,Payments!$A:$M,MATCH($A$3,Payments!$6:$6,1),0),0)</f>
        <v>0</v>
      </c>
      <c r="E51" s="118"/>
      <c r="F51" s="118"/>
    </row>
    <row r="52" spans="2:6" ht="12.75">
      <c r="B52" s="131" t="s">
        <v>62</v>
      </c>
      <c r="C52" s="131"/>
      <c r="D52" s="132">
        <f>_xlfn.IFERROR(VLOOKUP($B52,Payments!$A:$M,MATCH($A$3,Payments!$6:$6,1),0),0)</f>
        <v>143.74200000000002</v>
      </c>
      <c r="E52" s="118"/>
      <c r="F52" s="118"/>
    </row>
    <row r="53" spans="2:6" ht="12.75">
      <c r="B53" s="131" t="s">
        <v>63</v>
      </c>
      <c r="C53" s="131"/>
      <c r="D53" s="132">
        <f>_xlfn.IFERROR(VLOOKUP($B53,Payments!$A:$M,MATCH($A$3,Payments!$6:$6,1),0),0)</f>
        <v>0</v>
      </c>
      <c r="E53" s="118"/>
      <c r="F53" s="118"/>
    </row>
    <row r="54" spans="2:6" ht="12.75">
      <c r="B54" s="131" t="s">
        <v>64</v>
      </c>
      <c r="C54" s="131"/>
      <c r="D54" s="132">
        <f>_xlfn.IFERROR(VLOOKUP($B54,Payments!$A:$M,MATCH($A$3,Payments!$6:$6,1),0),0)</f>
        <v>0</v>
      </c>
      <c r="E54" s="118"/>
      <c r="F54" s="118"/>
    </row>
    <row r="55" spans="2:6" ht="12.75">
      <c r="B55" s="131" t="s">
        <v>65</v>
      </c>
      <c r="C55" s="131"/>
      <c r="D55" s="132">
        <f>_xlfn.IFERROR(VLOOKUP($B55,Payments!$A:$M,MATCH($A$3,Payments!$6:$6,1),0),0)</f>
        <v>0</v>
      </c>
      <c r="E55" s="118"/>
      <c r="F55" s="118"/>
    </row>
    <row r="56" spans="2:6" ht="12.75">
      <c r="B56" s="131" t="s">
        <v>66</v>
      </c>
      <c r="C56" s="131"/>
      <c r="D56" s="132">
        <f>_xlfn.IFERROR(VLOOKUP($B56,Payments!$A:$M,MATCH($A$3,Payments!$6:$6,1),0),0)</f>
        <v>1672.5260000000003</v>
      </c>
      <c r="E56" s="118"/>
      <c r="F56" s="118"/>
    </row>
    <row r="57" spans="2:6" ht="12.75">
      <c r="B57" s="131" t="s">
        <v>67</v>
      </c>
      <c r="C57" s="131"/>
      <c r="D57" s="132">
        <f>_xlfn.IFERROR(VLOOKUP($B57,Payments!$A:$M,MATCH($A$3,Payments!$6:$6,1),0),0)</f>
        <v>2272.334</v>
      </c>
      <c r="E57" s="118"/>
      <c r="F57" s="118"/>
    </row>
    <row r="58" spans="2:6" ht="12.75">
      <c r="B58" s="24" t="s">
        <v>68</v>
      </c>
      <c r="D58" s="132">
        <f>_xlfn.IFERROR(VLOOKUP($B58,Payments!$A:$M,MATCH($A$3,Payments!$6:$6,1),0),0)</f>
        <v>0</v>
      </c>
      <c r="E58" s="118"/>
      <c r="F58" s="118"/>
    </row>
    <row r="59" spans="4:6" ht="12.75">
      <c r="D59" s="118"/>
      <c r="E59" s="118"/>
      <c r="F59" s="118"/>
    </row>
    <row r="60" spans="2:6" ht="13.5" thickBot="1">
      <c r="B60" s="72" t="s">
        <v>530</v>
      </c>
      <c r="D60" s="118"/>
      <c r="E60" s="118"/>
      <c r="F60" s="119">
        <f>+SUM(D17:D59)</f>
        <v>37627.332</v>
      </c>
    </row>
    <row r="61" spans="4:6" ht="13.5" thickTop="1">
      <c r="D61" s="118"/>
      <c r="E61" s="118"/>
      <c r="F61" s="118"/>
    </row>
    <row r="62" spans="2:6" ht="12.75">
      <c r="B62" s="64" t="s">
        <v>532</v>
      </c>
      <c r="D62" s="118"/>
      <c r="E62" s="118"/>
      <c r="F62" s="118"/>
    </row>
    <row r="63" spans="4:6" ht="12.75">
      <c r="D63" s="118"/>
      <c r="E63" s="118"/>
      <c r="F63" s="118"/>
    </row>
    <row r="64" spans="2:6" ht="12.75">
      <c r="B64" s="24" t="s">
        <v>531</v>
      </c>
      <c r="D64" s="133">
        <v>0</v>
      </c>
      <c r="E64" s="118"/>
      <c r="F64" s="118"/>
    </row>
    <row r="65" spans="2:6" ht="12.75">
      <c r="B65" s="24" t="s">
        <v>1134</v>
      </c>
      <c r="D65" s="133">
        <v>0</v>
      </c>
      <c r="E65" s="118"/>
      <c r="F65" s="118"/>
    </row>
    <row r="66" spans="2:6" ht="12.75">
      <c r="B66" s="24" t="s">
        <v>1133</v>
      </c>
      <c r="D66" s="133">
        <v>5800</v>
      </c>
      <c r="E66" s="118"/>
      <c r="F66" s="118"/>
    </row>
    <row r="67" spans="2:6" ht="12.75">
      <c r="B67" s="24" t="s">
        <v>1138</v>
      </c>
      <c r="D67" s="133">
        <f>300*4</f>
        <v>1200</v>
      </c>
      <c r="E67" s="118"/>
      <c r="F67" s="118"/>
    </row>
    <row r="68" spans="4:6" ht="12.75">
      <c r="D68" s="118"/>
      <c r="E68" s="118"/>
      <c r="F68" s="118"/>
    </row>
    <row r="69" spans="4:6" ht="13.5" thickBot="1">
      <c r="D69" s="118"/>
      <c r="E69" s="118"/>
      <c r="F69" s="119">
        <f>+SUM(D64:D68)</f>
        <v>7000</v>
      </c>
    </row>
    <row r="70" spans="4:6" ht="13.5" thickTop="1">
      <c r="D70" s="118"/>
      <c r="E70" s="118"/>
      <c r="F70" s="118"/>
    </row>
    <row r="71" spans="4:6" ht="12.75">
      <c r="D71" s="118"/>
      <c r="E71" s="118"/>
      <c r="F71" s="118"/>
    </row>
    <row r="72" spans="1:6" ht="13.5" thickBot="1">
      <c r="A72" s="307" t="s">
        <v>577</v>
      </c>
      <c r="B72" s="307"/>
      <c r="C72" s="134"/>
      <c r="D72" s="119"/>
      <c r="E72" s="119"/>
      <c r="F72" s="119">
        <f>+F13-F60-F69</f>
        <v>-551.4638151136387</v>
      </c>
    </row>
    <row r="73" spans="4:6" ht="13.5" thickTop="1">
      <c r="D73" s="118"/>
      <c r="E73" s="118"/>
      <c r="F73" s="118"/>
    </row>
    <row r="74" spans="1:6" ht="13.5" thickBot="1">
      <c r="A74" s="306" t="s">
        <v>1058</v>
      </c>
      <c r="B74" s="306"/>
      <c r="C74" s="134"/>
      <c r="D74" s="119"/>
      <c r="E74" s="119"/>
      <c r="F74" s="119">
        <v>52475</v>
      </c>
    </row>
    <row r="75" spans="4:6" ht="13.5" thickTop="1">
      <c r="D75" s="118"/>
      <c r="E75" s="118"/>
      <c r="F75" s="118"/>
    </row>
    <row r="76" spans="1:6" ht="13.5" thickBot="1">
      <c r="A76" s="308" t="s">
        <v>583</v>
      </c>
      <c r="B76" s="308"/>
      <c r="C76" s="135"/>
      <c r="D76" s="136"/>
      <c r="E76" s="136"/>
      <c r="F76" s="136">
        <f>+F72+F74</f>
        <v>51923.53618488636</v>
      </c>
    </row>
    <row r="77" spans="4:6" ht="13.5" thickTop="1">
      <c r="D77" s="118"/>
      <c r="E77" s="118"/>
      <c r="F77" s="118"/>
    </row>
  </sheetData>
  <sheetProtection/>
  <mergeCells count="9">
    <mergeCell ref="D5:F5"/>
    <mergeCell ref="A74:B74"/>
    <mergeCell ref="A72:B72"/>
    <mergeCell ref="A76:B76"/>
    <mergeCell ref="A1:F1"/>
    <mergeCell ref="A2:F2"/>
    <mergeCell ref="A3:F3"/>
    <mergeCell ref="A4:B4"/>
    <mergeCell ref="D4:F4"/>
  </mergeCells>
  <printOptions/>
  <pageMargins left="0.75" right="0.75" top="1" bottom="1" header="0.3" footer="0.3"/>
  <pageSetup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4" sqref="M24"/>
    </sheetView>
  </sheetViews>
  <sheetFormatPr defaultColWidth="8.8515625" defaultRowHeight="12.75"/>
  <cols>
    <col min="1" max="1" width="5.140625" style="24" customWidth="1"/>
    <col min="2" max="2" width="28.57421875" style="40" customWidth="1"/>
    <col min="3" max="3" width="11.421875" style="24" customWidth="1"/>
    <col min="4" max="4" width="11.00390625" style="24" customWidth="1"/>
    <col min="5" max="5" width="11.421875" style="24" customWidth="1"/>
    <col min="6" max="6" width="11.28125" style="24" customWidth="1"/>
    <col min="7" max="7" width="12.140625" style="24" customWidth="1"/>
    <col min="8" max="8" width="14.421875" style="24" customWidth="1"/>
    <col min="9" max="9" width="14.140625" style="24" customWidth="1"/>
    <col min="10" max="15" width="13.8515625" style="24" customWidth="1"/>
    <col min="16" max="16" width="14.00390625" style="24" customWidth="1"/>
    <col min="17" max="17" width="12.28125" style="24" hidden="1" customWidth="1"/>
    <col min="18" max="18" width="12.421875" style="24" customWidth="1"/>
    <col min="19" max="19" width="11.140625" style="24" customWidth="1"/>
    <col min="20" max="20" width="12.28125" style="235" customWidth="1"/>
    <col min="21" max="21" width="13.8515625" style="236" customWidth="1"/>
    <col min="22" max="22" width="9.421875" style="24" bestFit="1" customWidth="1"/>
    <col min="23" max="23" width="10.8515625" style="24" bestFit="1" customWidth="1"/>
    <col min="24" max="16384" width="8.8515625" style="24" customWidth="1"/>
  </cols>
  <sheetData>
    <row r="1" spans="7:14" ht="27" customHeight="1">
      <c r="G1" s="325" t="s">
        <v>115</v>
      </c>
      <c r="H1" s="325"/>
      <c r="I1" s="325"/>
      <c r="J1" s="325"/>
      <c r="K1" s="234"/>
      <c r="L1" s="234"/>
      <c r="M1" s="234"/>
      <c r="N1" s="234"/>
    </row>
    <row r="3" ht="12.75">
      <c r="P3" s="236"/>
    </row>
    <row r="4" spans="3:20" ht="13.5" thickBot="1">
      <c r="C4" s="324" t="s">
        <v>120</v>
      </c>
      <c r="D4" s="324"/>
      <c r="E4" s="324"/>
      <c r="F4" s="324"/>
      <c r="G4" s="324"/>
      <c r="H4" s="324"/>
      <c r="I4" s="324"/>
      <c r="J4" s="324"/>
      <c r="K4" s="237"/>
      <c r="L4" s="237"/>
      <c r="M4" s="237"/>
      <c r="N4" s="237"/>
      <c r="O4" s="238"/>
      <c r="T4" s="239" t="s">
        <v>119</v>
      </c>
    </row>
    <row r="5" spans="1:20" ht="39" thickBot="1">
      <c r="A5" s="240" t="s">
        <v>93</v>
      </c>
      <c r="B5" s="241" t="s">
        <v>94</v>
      </c>
      <c r="C5" s="242">
        <v>42551</v>
      </c>
      <c r="D5" s="243">
        <v>42582</v>
      </c>
      <c r="E5" s="244" t="s">
        <v>6</v>
      </c>
      <c r="F5" s="244" t="s">
        <v>7</v>
      </c>
      <c r="G5" s="244" t="s">
        <v>8</v>
      </c>
      <c r="H5" s="244" t="s">
        <v>9</v>
      </c>
      <c r="I5" s="244" t="s">
        <v>10</v>
      </c>
      <c r="J5" s="244" t="s">
        <v>11</v>
      </c>
      <c r="K5" s="243">
        <v>42783</v>
      </c>
      <c r="L5" s="243">
        <v>42825</v>
      </c>
      <c r="M5" s="243">
        <v>42855</v>
      </c>
      <c r="N5" s="245">
        <v>42872</v>
      </c>
      <c r="O5" s="246" t="s">
        <v>12</v>
      </c>
      <c r="P5" s="247" t="s">
        <v>622</v>
      </c>
      <c r="Q5" s="248" t="s">
        <v>480</v>
      </c>
      <c r="R5" s="248" t="s">
        <v>623</v>
      </c>
      <c r="S5" s="248" t="s">
        <v>481</v>
      </c>
      <c r="T5" s="249">
        <v>42887</v>
      </c>
    </row>
    <row r="6" spans="1:21" ht="12.75">
      <c r="A6" s="54">
        <v>1</v>
      </c>
      <c r="B6" s="250" t="s">
        <v>1108</v>
      </c>
      <c r="C6" s="251">
        <v>0</v>
      </c>
      <c r="D6" s="251">
        <v>0</v>
      </c>
      <c r="E6" s="251">
        <v>125.46</v>
      </c>
      <c r="F6" s="251">
        <v>0</v>
      </c>
      <c r="G6" s="251">
        <v>0</v>
      </c>
      <c r="H6" s="251">
        <v>2140.48</v>
      </c>
      <c r="I6" s="251">
        <v>0</v>
      </c>
      <c r="J6" s="251">
        <v>739.83</v>
      </c>
      <c r="K6" s="251">
        <v>0</v>
      </c>
      <c r="L6" s="251">
        <v>0</v>
      </c>
      <c r="M6" s="251">
        <v>0</v>
      </c>
      <c r="N6" s="251">
        <v>1968.9</v>
      </c>
      <c r="O6" s="251">
        <f>+SUM(C6:N6)</f>
        <v>4974.67</v>
      </c>
      <c r="P6" s="252">
        <v>0</v>
      </c>
      <c r="Q6" s="253">
        <v>0</v>
      </c>
      <c r="R6" s="254"/>
      <c r="S6" s="253"/>
      <c r="T6" s="255">
        <f aca="true" t="shared" si="0" ref="T6:T25">+P6+P6*(Q6+R6+S6)</f>
        <v>0</v>
      </c>
      <c r="U6" s="103"/>
    </row>
    <row r="7" spans="1:21" ht="12.75">
      <c r="A7" s="54">
        <v>2</v>
      </c>
      <c r="B7" s="250" t="s">
        <v>1109</v>
      </c>
      <c r="C7" s="251">
        <v>0</v>
      </c>
      <c r="D7" s="251">
        <v>1682.26</v>
      </c>
      <c r="E7" s="251">
        <v>1291.1</v>
      </c>
      <c r="F7" s="251">
        <v>438.52</v>
      </c>
      <c r="G7" s="251">
        <v>2998.63</v>
      </c>
      <c r="H7" s="251">
        <v>75.86</v>
      </c>
      <c r="I7" s="251">
        <v>939.58</v>
      </c>
      <c r="J7" s="251">
        <v>0</v>
      </c>
      <c r="K7" s="251">
        <v>0</v>
      </c>
      <c r="L7" s="251">
        <v>125.28</v>
      </c>
      <c r="M7" s="251">
        <v>2388.3</v>
      </c>
      <c r="N7" s="251">
        <v>842.07</v>
      </c>
      <c r="O7" s="251">
        <f aca="true" t="shared" si="1" ref="O7:O24">+SUM(C7:N7)</f>
        <v>10781.599999999999</v>
      </c>
      <c r="P7" s="252">
        <f>+AVERAGE(C7:N7)*0.5</f>
        <v>449.2333333333333</v>
      </c>
      <c r="Q7" s="253">
        <v>0</v>
      </c>
      <c r="R7" s="254"/>
      <c r="S7" s="253"/>
      <c r="T7" s="255">
        <f t="shared" si="0"/>
        <v>449.2333333333333</v>
      </c>
      <c r="U7" s="103"/>
    </row>
    <row r="8" spans="1:21" ht="12.75">
      <c r="A8" s="54">
        <v>3</v>
      </c>
      <c r="B8" s="250" t="s">
        <v>1110</v>
      </c>
      <c r="C8" s="251">
        <v>1045.36</v>
      </c>
      <c r="D8" s="251">
        <v>896.37</v>
      </c>
      <c r="E8" s="251">
        <v>253.08</v>
      </c>
      <c r="F8" s="251">
        <v>365.02</v>
      </c>
      <c r="G8" s="251">
        <v>537.7</v>
      </c>
      <c r="H8" s="251">
        <v>967.65</v>
      </c>
      <c r="I8" s="251">
        <v>0</v>
      </c>
      <c r="J8" s="251">
        <v>537.7</v>
      </c>
      <c r="K8" s="251">
        <v>761.63</v>
      </c>
      <c r="L8" s="251">
        <v>962.68</v>
      </c>
      <c r="M8" s="251">
        <v>0</v>
      </c>
      <c r="N8" s="251">
        <v>1023.32</v>
      </c>
      <c r="O8" s="251">
        <f t="shared" si="1"/>
        <v>7350.51</v>
      </c>
      <c r="P8" s="252">
        <f>+AVERAGE(C8:N8)</f>
        <v>612.5425</v>
      </c>
      <c r="Q8" s="253">
        <v>0</v>
      </c>
      <c r="R8" s="254"/>
      <c r="S8" s="253"/>
      <c r="T8" s="255">
        <f t="shared" si="0"/>
        <v>612.5425</v>
      </c>
      <c r="U8" s="103"/>
    </row>
    <row r="9" spans="1:21" ht="12.75">
      <c r="A9" s="54">
        <v>4</v>
      </c>
      <c r="B9" s="250" t="s">
        <v>1111</v>
      </c>
      <c r="C9" s="251">
        <v>9120.08</v>
      </c>
      <c r="D9" s="251">
        <v>6482.17</v>
      </c>
      <c r="E9" s="251">
        <v>5157.26</v>
      </c>
      <c r="F9" s="251">
        <v>5034.09</v>
      </c>
      <c r="G9" s="251">
        <v>3954.5</v>
      </c>
      <c r="H9" s="251">
        <v>4515.99</v>
      </c>
      <c r="I9" s="251">
        <v>4308.74</v>
      </c>
      <c r="J9" s="251">
        <v>2249.58</v>
      </c>
      <c r="K9" s="251">
        <v>8621.1</v>
      </c>
      <c r="L9" s="251">
        <v>3066.54</v>
      </c>
      <c r="M9" s="251">
        <v>7407.72</v>
      </c>
      <c r="N9" s="251">
        <v>5047.01</v>
      </c>
      <c r="O9" s="251">
        <f t="shared" si="1"/>
        <v>64964.780000000006</v>
      </c>
      <c r="P9" s="252">
        <f>+AVERAGE(G9:N9)</f>
        <v>4896.3975</v>
      </c>
      <c r="Q9" s="253">
        <v>0</v>
      </c>
      <c r="R9" s="254"/>
      <c r="S9" s="253"/>
      <c r="T9" s="255">
        <v>4582</v>
      </c>
      <c r="U9" s="103" t="s">
        <v>13</v>
      </c>
    </row>
    <row r="10" spans="1:21" ht="12.75">
      <c r="A10" s="54">
        <v>5</v>
      </c>
      <c r="B10" s="250" t="s">
        <v>1112</v>
      </c>
      <c r="C10" s="251">
        <v>1451.44</v>
      </c>
      <c r="D10" s="251">
        <v>1863.98</v>
      </c>
      <c r="E10" s="251">
        <v>3278.4</v>
      </c>
      <c r="F10" s="251">
        <v>1237.26</v>
      </c>
      <c r="G10" s="251">
        <v>3172.98</v>
      </c>
      <c r="H10" s="251">
        <v>1592.26</v>
      </c>
      <c r="I10" s="251">
        <v>1669.94</v>
      </c>
      <c r="J10" s="251">
        <v>1264.94</v>
      </c>
      <c r="K10" s="251">
        <v>3071.38</v>
      </c>
      <c r="L10" s="251">
        <v>897.68</v>
      </c>
      <c r="M10" s="251">
        <v>1695.02</v>
      </c>
      <c r="N10" s="251">
        <v>2579.76</v>
      </c>
      <c r="O10" s="251">
        <f t="shared" si="1"/>
        <v>23775.04</v>
      </c>
      <c r="P10" s="252">
        <v>2848.15</v>
      </c>
      <c r="Q10" s="253">
        <v>0</v>
      </c>
      <c r="R10" s="254"/>
      <c r="S10" s="253"/>
      <c r="T10" s="255">
        <v>2373</v>
      </c>
      <c r="U10" s="103" t="s">
        <v>13</v>
      </c>
    </row>
    <row r="11" spans="1:21" ht="12.75">
      <c r="A11" s="54">
        <v>6</v>
      </c>
      <c r="B11" s="250" t="s">
        <v>1113</v>
      </c>
      <c r="C11" s="251">
        <v>2508.02</v>
      </c>
      <c r="D11" s="251">
        <v>2138.14</v>
      </c>
      <c r="E11" s="251">
        <v>2695.54</v>
      </c>
      <c r="F11" s="251">
        <v>1017.69</v>
      </c>
      <c r="G11" s="251">
        <v>1628.47</v>
      </c>
      <c r="H11" s="251">
        <v>1923.1</v>
      </c>
      <c r="I11" s="251">
        <v>1575.09</v>
      </c>
      <c r="J11" s="251">
        <v>2078.51</v>
      </c>
      <c r="K11" s="251">
        <v>3495.4</v>
      </c>
      <c r="L11" s="251">
        <v>1579.1</v>
      </c>
      <c r="M11" s="251">
        <v>1782.2</v>
      </c>
      <c r="N11" s="251">
        <v>3160.85</v>
      </c>
      <c r="O11" s="251">
        <f t="shared" si="1"/>
        <v>25582.109999999997</v>
      </c>
      <c r="P11" s="252">
        <v>1914.41</v>
      </c>
      <c r="Q11" s="253">
        <v>0</v>
      </c>
      <c r="R11" s="254"/>
      <c r="S11" s="253"/>
      <c r="T11" s="255">
        <v>1595</v>
      </c>
      <c r="U11" s="103" t="s">
        <v>13</v>
      </c>
    </row>
    <row r="12" spans="1:21" ht="12.75">
      <c r="A12" s="54">
        <v>7</v>
      </c>
      <c r="B12" s="250" t="s">
        <v>1114</v>
      </c>
      <c r="C12" s="251">
        <v>2201.14</v>
      </c>
      <c r="D12" s="251">
        <v>0</v>
      </c>
      <c r="E12" s="251">
        <v>748.32</v>
      </c>
      <c r="F12" s="251">
        <v>1300.62</v>
      </c>
      <c r="G12" s="251">
        <v>1201.96</v>
      </c>
      <c r="H12" s="251">
        <v>965.98</v>
      </c>
      <c r="I12" s="251">
        <v>685.78</v>
      </c>
      <c r="J12" s="251">
        <v>285.67</v>
      </c>
      <c r="K12" s="251">
        <v>1138.75</v>
      </c>
      <c r="L12" s="251">
        <v>627.3</v>
      </c>
      <c r="M12" s="251">
        <v>0</v>
      </c>
      <c r="N12" s="251">
        <v>479.15</v>
      </c>
      <c r="O12" s="251">
        <f t="shared" si="1"/>
        <v>9634.67</v>
      </c>
      <c r="P12" s="252">
        <v>1094.04</v>
      </c>
      <c r="Q12" s="253">
        <v>0</v>
      </c>
      <c r="R12" s="254"/>
      <c r="S12" s="253"/>
      <c r="T12" s="255">
        <v>912</v>
      </c>
      <c r="U12" s="103" t="s">
        <v>13</v>
      </c>
    </row>
    <row r="13" spans="1:21" s="164" customFormat="1" ht="12.75">
      <c r="A13" s="54">
        <v>8</v>
      </c>
      <c r="B13" s="250" t="s">
        <v>1115</v>
      </c>
      <c r="C13" s="251">
        <v>1482.19</v>
      </c>
      <c r="D13" s="251">
        <v>0</v>
      </c>
      <c r="E13" s="251">
        <v>936.42</v>
      </c>
      <c r="F13" s="251">
        <v>0</v>
      </c>
      <c r="G13" s="251">
        <v>923.15</v>
      </c>
      <c r="H13" s="251">
        <v>1008.81</v>
      </c>
      <c r="I13" s="251">
        <v>1919.8</v>
      </c>
      <c r="J13" s="251">
        <v>0</v>
      </c>
      <c r="K13" s="251">
        <v>2440.94</v>
      </c>
      <c r="L13" s="251">
        <v>0</v>
      </c>
      <c r="M13" s="251">
        <v>0</v>
      </c>
      <c r="N13" s="251">
        <v>0</v>
      </c>
      <c r="O13" s="251">
        <f t="shared" si="1"/>
        <v>8711.31</v>
      </c>
      <c r="P13" s="252">
        <v>846.73</v>
      </c>
      <c r="Q13" s="253">
        <v>0</v>
      </c>
      <c r="R13" s="256"/>
      <c r="S13" s="253"/>
      <c r="T13" s="255">
        <v>706</v>
      </c>
      <c r="U13" s="103" t="s">
        <v>13</v>
      </c>
    </row>
    <row r="14" spans="1:21" ht="12.75">
      <c r="A14" s="54">
        <v>9</v>
      </c>
      <c r="B14" s="250" t="s">
        <v>1116</v>
      </c>
      <c r="C14" s="251">
        <v>0</v>
      </c>
      <c r="D14" s="251">
        <v>0</v>
      </c>
      <c r="E14" s="251">
        <v>4807.84</v>
      </c>
      <c r="F14" s="251">
        <v>90.86</v>
      </c>
      <c r="G14" s="251">
        <v>0</v>
      </c>
      <c r="H14" s="251">
        <v>373.99</v>
      </c>
      <c r="I14" s="251">
        <v>129.5</v>
      </c>
      <c r="J14" s="251">
        <v>0</v>
      </c>
      <c r="K14" s="251">
        <v>0</v>
      </c>
      <c r="L14" s="251">
        <v>655.68</v>
      </c>
      <c r="M14" s="251">
        <v>0</v>
      </c>
      <c r="N14" s="251">
        <v>783.17</v>
      </c>
      <c r="O14" s="251">
        <f t="shared" si="1"/>
        <v>6841.04</v>
      </c>
      <c r="P14" s="252">
        <f>+_xlfn.AVERAGEIF(G14:N14,"&lt;&gt;0")</f>
        <v>485.58500000000004</v>
      </c>
      <c r="Q14" s="253">
        <v>0</v>
      </c>
      <c r="R14" s="254"/>
      <c r="S14" s="257"/>
      <c r="T14" s="255">
        <v>0</v>
      </c>
      <c r="U14" s="103"/>
    </row>
    <row r="15" spans="1:21" ht="12.75">
      <c r="A15" s="54">
        <v>10</v>
      </c>
      <c r="B15" s="250" t="s">
        <v>1117</v>
      </c>
      <c r="C15" s="251">
        <v>1950.89</v>
      </c>
      <c r="D15" s="251">
        <v>0</v>
      </c>
      <c r="E15" s="251">
        <v>145.56</v>
      </c>
      <c r="F15" s="251">
        <v>-42.48</v>
      </c>
      <c r="G15" s="251">
        <v>2554</v>
      </c>
      <c r="H15" s="251">
        <v>0</v>
      </c>
      <c r="I15" s="251">
        <v>-1593.99</v>
      </c>
      <c r="J15" s="251">
        <v>15000</v>
      </c>
      <c r="K15" s="251">
        <v>-97.85</v>
      </c>
      <c r="L15" s="251">
        <v>0.79</v>
      </c>
      <c r="M15" s="251">
        <v>164.96000000000095</v>
      </c>
      <c r="N15" s="251">
        <v>226.51</v>
      </c>
      <c r="O15" s="251">
        <f t="shared" si="1"/>
        <v>18308.390000000003</v>
      </c>
      <c r="P15" s="252">
        <v>0</v>
      </c>
      <c r="Q15" s="253">
        <v>0</v>
      </c>
      <c r="R15" s="254"/>
      <c r="S15" s="257">
        <v>-0.25</v>
      </c>
      <c r="T15" s="255">
        <f t="shared" si="0"/>
        <v>0</v>
      </c>
      <c r="U15" s="103"/>
    </row>
    <row r="16" spans="1:21" ht="12.75">
      <c r="A16" s="54">
        <v>11</v>
      </c>
      <c r="B16" s="250" t="s">
        <v>1118</v>
      </c>
      <c r="C16" s="251">
        <v>0</v>
      </c>
      <c r="D16" s="251">
        <v>1770.82</v>
      </c>
      <c r="E16" s="251">
        <v>127.84</v>
      </c>
      <c r="F16" s="251">
        <v>911.68</v>
      </c>
      <c r="G16" s="251">
        <v>413.51</v>
      </c>
      <c r="H16" s="251">
        <v>823.01</v>
      </c>
      <c r="I16" s="251">
        <v>749.56</v>
      </c>
      <c r="J16" s="251">
        <v>133.58</v>
      </c>
      <c r="K16" s="251">
        <v>206.98</v>
      </c>
      <c r="L16" s="251">
        <v>299.64</v>
      </c>
      <c r="M16" s="251">
        <v>628.07</v>
      </c>
      <c r="N16" s="251">
        <v>865.56</v>
      </c>
      <c r="O16" s="251">
        <f t="shared" si="1"/>
        <v>6930.25</v>
      </c>
      <c r="P16" s="252">
        <f>+AVERAGE(C16:N16)</f>
        <v>577.5208333333334</v>
      </c>
      <c r="Q16" s="253">
        <v>0</v>
      </c>
      <c r="R16" s="254"/>
      <c r="S16" s="253"/>
      <c r="T16" s="255">
        <f t="shared" si="0"/>
        <v>577.5208333333334</v>
      </c>
      <c r="U16" s="103"/>
    </row>
    <row r="17" spans="1:21" ht="12.75">
      <c r="A17" s="54">
        <v>12</v>
      </c>
      <c r="B17" s="250" t="s">
        <v>1119</v>
      </c>
      <c r="C17" s="251">
        <v>1683.34</v>
      </c>
      <c r="D17" s="251">
        <v>1200.32</v>
      </c>
      <c r="E17" s="251">
        <v>852.39</v>
      </c>
      <c r="F17" s="251">
        <v>1229.2</v>
      </c>
      <c r="G17" s="251">
        <v>1494.04</v>
      </c>
      <c r="H17" s="251">
        <v>1031.6</v>
      </c>
      <c r="I17" s="251">
        <v>563.08</v>
      </c>
      <c r="J17" s="251">
        <v>795.77</v>
      </c>
      <c r="K17" s="251">
        <v>0</v>
      </c>
      <c r="L17" s="251">
        <v>639.88</v>
      </c>
      <c r="M17" s="251">
        <v>0</v>
      </c>
      <c r="N17" s="251">
        <v>0</v>
      </c>
      <c r="O17" s="251">
        <f t="shared" si="1"/>
        <v>9489.619999999999</v>
      </c>
      <c r="P17" s="252">
        <f>+_xlfn.AVERAGEIF(C17:N17,"&lt;1000")</f>
        <v>407.30285714285714</v>
      </c>
      <c r="Q17" s="253">
        <v>0</v>
      </c>
      <c r="R17" s="254"/>
      <c r="S17" s="253"/>
      <c r="T17" s="255">
        <f t="shared" si="0"/>
        <v>407.30285714285714</v>
      </c>
      <c r="U17" s="103"/>
    </row>
    <row r="18" spans="1:21" s="164" customFormat="1" ht="12.75">
      <c r="A18" s="54">
        <v>13</v>
      </c>
      <c r="B18" s="250" t="s">
        <v>1120</v>
      </c>
      <c r="C18" s="251">
        <v>760.04</v>
      </c>
      <c r="D18" s="251">
        <v>2024.42</v>
      </c>
      <c r="E18" s="251">
        <v>399.09</v>
      </c>
      <c r="F18" s="251">
        <v>286.83</v>
      </c>
      <c r="G18" s="251">
        <v>824.92</v>
      </c>
      <c r="H18" s="251">
        <v>1268.92</v>
      </c>
      <c r="I18" s="251">
        <v>119.84</v>
      </c>
      <c r="J18" s="251">
        <v>714.06</v>
      </c>
      <c r="K18" s="251">
        <v>1951.04</v>
      </c>
      <c r="L18" s="251">
        <v>591.52</v>
      </c>
      <c r="M18" s="251">
        <v>887.37</v>
      </c>
      <c r="N18" s="251">
        <v>734.96</v>
      </c>
      <c r="O18" s="251">
        <f t="shared" si="1"/>
        <v>10563.010000000002</v>
      </c>
      <c r="P18" s="252">
        <f>+AVERAGE(C18:N18)</f>
        <v>880.2508333333335</v>
      </c>
      <c r="Q18" s="253">
        <v>0</v>
      </c>
      <c r="R18" s="256"/>
      <c r="S18" s="253"/>
      <c r="T18" s="255">
        <f t="shared" si="0"/>
        <v>880.2508333333335</v>
      </c>
      <c r="U18" s="103"/>
    </row>
    <row r="19" spans="1:21" s="164" customFormat="1" ht="12.75">
      <c r="A19" s="54">
        <v>14</v>
      </c>
      <c r="B19" s="250" t="s">
        <v>1121</v>
      </c>
      <c r="C19" s="251"/>
      <c r="D19" s="251"/>
      <c r="E19" s="251"/>
      <c r="F19" s="251"/>
      <c r="G19" s="251"/>
      <c r="H19" s="251"/>
      <c r="I19" s="251"/>
      <c r="J19" s="251"/>
      <c r="K19" s="251">
        <v>717.19</v>
      </c>
      <c r="L19" s="251">
        <v>314.97</v>
      </c>
      <c r="M19" s="251">
        <v>379.56</v>
      </c>
      <c r="N19" s="251">
        <v>916.13</v>
      </c>
      <c r="O19" s="251">
        <f t="shared" si="1"/>
        <v>2327.85</v>
      </c>
      <c r="P19" s="252">
        <f>+AVERAGE(K19:N19)</f>
        <v>581.9625</v>
      </c>
      <c r="Q19" s="253"/>
      <c r="R19" s="256"/>
      <c r="S19" s="253"/>
      <c r="T19" s="255">
        <f t="shared" si="0"/>
        <v>581.9625</v>
      </c>
      <c r="U19" s="103"/>
    </row>
    <row r="20" spans="1:21" ht="12.75">
      <c r="A20" s="54">
        <v>15</v>
      </c>
      <c r="B20" s="250" t="s">
        <v>1122</v>
      </c>
      <c r="C20" s="251">
        <v>0</v>
      </c>
      <c r="D20" s="251">
        <v>0</v>
      </c>
      <c r="E20" s="251">
        <v>2408.84</v>
      </c>
      <c r="F20" s="251">
        <v>1767.5</v>
      </c>
      <c r="G20" s="251">
        <v>2137.24</v>
      </c>
      <c r="H20" s="251">
        <v>0</v>
      </c>
      <c r="I20" s="251">
        <v>1399.97</v>
      </c>
      <c r="J20" s="251">
        <v>0</v>
      </c>
      <c r="K20" s="251">
        <v>3028.49</v>
      </c>
      <c r="L20" s="251">
        <v>898.58</v>
      </c>
      <c r="M20" s="251">
        <v>2682.81</v>
      </c>
      <c r="N20" s="251">
        <v>911.7</v>
      </c>
      <c r="O20" s="251">
        <f t="shared" si="1"/>
        <v>15235.130000000001</v>
      </c>
      <c r="P20" s="252">
        <f>+AVERAGE(C20:N20)</f>
        <v>1269.5941666666668</v>
      </c>
      <c r="Q20" s="253">
        <v>0</v>
      </c>
      <c r="R20" s="254"/>
      <c r="S20" s="253"/>
      <c r="T20" s="255">
        <f>+P20+P20*(Q20+R20+S20)+P20*50%</f>
        <v>1904.3912500000001</v>
      </c>
      <c r="U20" s="103"/>
    </row>
    <row r="21" spans="1:21" ht="12.75">
      <c r="A21" s="54">
        <v>16</v>
      </c>
      <c r="B21" s="250" t="s">
        <v>1123</v>
      </c>
      <c r="C21" s="251">
        <v>536.44</v>
      </c>
      <c r="D21" s="251">
        <v>970.4</v>
      </c>
      <c r="E21" s="251">
        <v>0</v>
      </c>
      <c r="F21" s="251">
        <v>701.38</v>
      </c>
      <c r="G21" s="251">
        <v>665.48</v>
      </c>
      <c r="H21" s="251">
        <v>1085.73</v>
      </c>
      <c r="I21" s="251">
        <v>469.44</v>
      </c>
      <c r="J21" s="251">
        <v>778.47</v>
      </c>
      <c r="K21" s="251">
        <v>827.03</v>
      </c>
      <c r="L21" s="251">
        <v>23.59</v>
      </c>
      <c r="M21" s="251">
        <v>842.94</v>
      </c>
      <c r="N21" s="251">
        <v>530.32</v>
      </c>
      <c r="O21" s="251">
        <f t="shared" si="1"/>
        <v>7431.219999999999</v>
      </c>
      <c r="P21" s="252">
        <f>+AVERAGE(C21:N21)</f>
        <v>619.2683333333333</v>
      </c>
      <c r="Q21" s="253">
        <v>0</v>
      </c>
      <c r="R21" s="254"/>
      <c r="S21" s="253"/>
      <c r="T21" s="255">
        <f t="shared" si="0"/>
        <v>619.2683333333333</v>
      </c>
      <c r="U21" s="103"/>
    </row>
    <row r="22" spans="1:21" s="164" customFormat="1" ht="12.75">
      <c r="A22" s="54">
        <v>17</v>
      </c>
      <c r="B22" s="250" t="s">
        <v>1124</v>
      </c>
      <c r="C22" s="251">
        <v>1668.48</v>
      </c>
      <c r="D22" s="251">
        <v>1016.89</v>
      </c>
      <c r="E22" s="251">
        <v>1266.69</v>
      </c>
      <c r="F22" s="251">
        <v>1415.39</v>
      </c>
      <c r="G22" s="251">
        <v>2386.13</v>
      </c>
      <c r="H22" s="251">
        <v>1066.92</v>
      </c>
      <c r="I22" s="251">
        <v>1124.83</v>
      </c>
      <c r="J22" s="251">
        <v>1503.34</v>
      </c>
      <c r="K22" s="251">
        <v>2248.5</v>
      </c>
      <c r="L22" s="251">
        <v>1866.98</v>
      </c>
      <c r="M22" s="251">
        <v>1915.57</v>
      </c>
      <c r="N22" s="251">
        <v>1920.62</v>
      </c>
      <c r="O22" s="251">
        <f t="shared" si="1"/>
        <v>19400.34</v>
      </c>
      <c r="P22" s="252">
        <f>+AVERAGE(C22:N22)</f>
        <v>1616.695</v>
      </c>
      <c r="Q22" s="253">
        <v>0</v>
      </c>
      <c r="R22" s="256"/>
      <c r="S22" s="253"/>
      <c r="T22" s="255">
        <f>+P22+P22*(Q22+R22+S22)+P22*10%</f>
        <v>1778.3645</v>
      </c>
      <c r="U22" s="258"/>
    </row>
    <row r="23" spans="1:21" ht="12.75">
      <c r="A23" s="54">
        <v>18</v>
      </c>
      <c r="B23" s="250" t="s">
        <v>1125</v>
      </c>
      <c r="C23" s="251">
        <v>489.76</v>
      </c>
      <c r="D23" s="251">
        <v>0</v>
      </c>
      <c r="E23" s="251">
        <v>1344.53</v>
      </c>
      <c r="F23" s="251">
        <v>0</v>
      </c>
      <c r="G23" s="251">
        <v>0</v>
      </c>
      <c r="H23" s="251">
        <v>1582.29</v>
      </c>
      <c r="I23" s="251">
        <v>0</v>
      </c>
      <c r="J23" s="251">
        <v>0</v>
      </c>
      <c r="K23" s="251">
        <v>1526.55</v>
      </c>
      <c r="L23" s="251">
        <v>2289.79</v>
      </c>
      <c r="M23" s="251">
        <v>0</v>
      </c>
      <c r="N23" s="251">
        <v>1192.09</v>
      </c>
      <c r="O23" s="251">
        <f t="shared" si="1"/>
        <v>8425.01</v>
      </c>
      <c r="P23" s="252">
        <f>+AVERAGE(C23:N23)</f>
        <v>702.0841666666666</v>
      </c>
      <c r="Q23" s="253">
        <v>0</v>
      </c>
      <c r="R23" s="254"/>
      <c r="S23" s="253"/>
      <c r="T23" s="255">
        <f t="shared" si="0"/>
        <v>702.0841666666666</v>
      </c>
      <c r="U23" s="103"/>
    </row>
    <row r="24" spans="1:21" ht="12.75">
      <c r="A24" s="54">
        <v>19</v>
      </c>
      <c r="B24" s="250" t="s">
        <v>1126</v>
      </c>
      <c r="C24" s="251"/>
      <c r="D24" s="251"/>
      <c r="E24" s="251"/>
      <c r="F24" s="251"/>
      <c r="G24" s="251"/>
      <c r="H24" s="251"/>
      <c r="I24" s="251"/>
      <c r="J24" s="251"/>
      <c r="K24" s="251">
        <v>2069.58</v>
      </c>
      <c r="L24" s="251">
        <v>553.22</v>
      </c>
      <c r="M24" s="251">
        <v>505.03</v>
      </c>
      <c r="N24" s="251">
        <v>2051.58</v>
      </c>
      <c r="O24" s="251">
        <f t="shared" si="1"/>
        <v>5179.41</v>
      </c>
      <c r="P24" s="252">
        <f>+AVERAGE(K24:N24)</f>
        <v>1294.8525</v>
      </c>
      <c r="Q24" s="253"/>
      <c r="R24" s="254"/>
      <c r="S24" s="253"/>
      <c r="T24" s="255">
        <f>+P24+P24*(Q24+R24+S24)-P24*50%</f>
        <v>647.42625</v>
      </c>
      <c r="U24" s="103"/>
    </row>
    <row r="25" spans="1:21" ht="12.75">
      <c r="A25" s="54"/>
      <c r="B25" s="250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2">
        <f>(+O25*0.5)*0.6</f>
        <v>0</v>
      </c>
      <c r="Q25" s="253"/>
      <c r="R25" s="254"/>
      <c r="S25" s="253"/>
      <c r="T25" s="255">
        <f t="shared" si="0"/>
        <v>0</v>
      </c>
      <c r="U25" s="103"/>
    </row>
    <row r="26" spans="1:21" ht="12.75">
      <c r="A26" s="54"/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259"/>
      <c r="Q26" s="260"/>
      <c r="R26" s="260"/>
      <c r="S26" s="260"/>
      <c r="T26" s="255"/>
      <c r="U26" s="103"/>
    </row>
    <row r="27" spans="1:21" ht="28.5" customHeight="1">
      <c r="A27" s="54"/>
      <c r="B27" s="261" t="s">
        <v>482</v>
      </c>
      <c r="C27" s="262">
        <f aca="true" t="shared" si="2" ref="C27:M27">+SUM(C6:C26)</f>
        <v>24897.179999999997</v>
      </c>
      <c r="D27" s="262">
        <f t="shared" si="2"/>
        <v>20045.769999999997</v>
      </c>
      <c r="E27" s="262">
        <f t="shared" si="2"/>
        <v>25838.359999999997</v>
      </c>
      <c r="F27" s="262">
        <f t="shared" si="2"/>
        <v>15753.560000000001</v>
      </c>
      <c r="G27" s="262">
        <f t="shared" si="2"/>
        <v>24892.71</v>
      </c>
      <c r="H27" s="262">
        <f t="shared" si="2"/>
        <v>20422.590000000004</v>
      </c>
      <c r="I27" s="262">
        <f t="shared" si="2"/>
        <v>14061.16</v>
      </c>
      <c r="J27" s="262">
        <f t="shared" si="2"/>
        <v>26081.450000000004</v>
      </c>
      <c r="K27" s="262">
        <f t="shared" si="2"/>
        <v>32006.71</v>
      </c>
      <c r="L27" s="262">
        <f t="shared" si="2"/>
        <v>15393.22</v>
      </c>
      <c r="M27" s="262">
        <f t="shared" si="2"/>
        <v>21279.55</v>
      </c>
      <c r="N27" s="263">
        <f>SUM(N6:N26)</f>
        <v>25233.700000000004</v>
      </c>
      <c r="O27" s="262">
        <f>SUM(O6:O26)</f>
        <v>265905.96</v>
      </c>
      <c r="P27" s="264">
        <f>+SUM(P6:P23)</f>
        <v>19801.767023809523</v>
      </c>
      <c r="Q27" s="265"/>
      <c r="R27" s="265"/>
      <c r="S27" s="265"/>
      <c r="T27" s="266">
        <f>+SUM(T6:T26)</f>
        <v>19328.34735714286</v>
      </c>
      <c r="U27" s="103"/>
    </row>
    <row r="28" spans="1:21" ht="13.5" thickBot="1">
      <c r="A28" s="267"/>
      <c r="B28" s="268" t="s">
        <v>116</v>
      </c>
      <c r="C28" s="269">
        <f aca="true" t="shared" si="3" ref="C28:O28">+C30-C27</f>
        <v>17012.930000000004</v>
      </c>
      <c r="D28" s="269">
        <f t="shared" si="3"/>
        <v>19605.35000000002</v>
      </c>
      <c r="E28" s="269">
        <f t="shared" si="3"/>
        <v>17408.620000000006</v>
      </c>
      <c r="F28" s="269">
        <f t="shared" si="3"/>
        <v>18086.260000000006</v>
      </c>
      <c r="G28" s="269">
        <f t="shared" si="3"/>
        <v>17715.490000000013</v>
      </c>
      <c r="H28" s="269">
        <f t="shared" si="3"/>
        <v>16731.69000000001</v>
      </c>
      <c r="I28" s="269">
        <f t="shared" si="3"/>
        <v>10725.570000000007</v>
      </c>
      <c r="J28" s="269">
        <f t="shared" si="3"/>
        <v>11540.020000000004</v>
      </c>
      <c r="K28" s="269">
        <f t="shared" si="3"/>
        <v>22145.800000000025</v>
      </c>
      <c r="L28" s="269">
        <f>+L30-L27</f>
        <v>9449.959999999994</v>
      </c>
      <c r="M28" s="269">
        <f>+M30-M27</f>
        <v>17819.06</v>
      </c>
      <c r="N28" s="270">
        <f>+N30-N27</f>
        <v>20169.159999999996</v>
      </c>
      <c r="O28" s="269">
        <f t="shared" si="3"/>
        <v>113908.44000000006</v>
      </c>
      <c r="P28" s="271">
        <f>+P30-P27</f>
        <v>13201.178015873018</v>
      </c>
      <c r="Q28" s="272"/>
      <c r="R28" s="272"/>
      <c r="S28" s="272"/>
      <c r="T28" s="273">
        <f>+T30-T27</f>
        <v>14182.950401209582</v>
      </c>
      <c r="U28" s="103"/>
    </row>
    <row r="29" spans="1:21" ht="12.75">
      <c r="A29" s="54"/>
      <c r="B29" s="274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6"/>
      <c r="Q29" s="277"/>
      <c r="R29" s="277"/>
      <c r="S29" s="277"/>
      <c r="T29" s="278"/>
      <c r="U29" s="103"/>
    </row>
    <row r="30" spans="1:23" ht="12.75">
      <c r="A30" s="54"/>
      <c r="B30" s="261" t="s">
        <v>12</v>
      </c>
      <c r="C30" s="262">
        <v>41910.11</v>
      </c>
      <c r="D30" s="262">
        <v>39651.12000000002</v>
      </c>
      <c r="E30" s="262">
        <v>43246.98</v>
      </c>
      <c r="F30" s="262">
        <v>33839.82000000001</v>
      </c>
      <c r="G30" s="262">
        <v>42608.20000000001</v>
      </c>
      <c r="H30" s="262">
        <v>37154.28000000001</v>
      </c>
      <c r="I30" s="262">
        <v>24786.730000000007</v>
      </c>
      <c r="J30" s="262">
        <v>37621.47000000001</v>
      </c>
      <c r="K30" s="262">
        <v>54152.510000000024</v>
      </c>
      <c r="L30" s="262">
        <v>24843.179999999993</v>
      </c>
      <c r="M30" s="262">
        <f>+'Apr''17 Sale'!B456</f>
        <v>39098.61</v>
      </c>
      <c r="N30" s="262">
        <v>45402.86</v>
      </c>
      <c r="O30" s="262">
        <f>+SUM(C30:L30)</f>
        <v>379814.4000000001</v>
      </c>
      <c r="P30" s="264">
        <f>+P27*1.66666666666667</f>
        <v>33002.94503968254</v>
      </c>
      <c r="Q30" s="265"/>
      <c r="R30" s="265"/>
      <c r="S30" s="265"/>
      <c r="T30" s="266">
        <f>+T27*100%/C36</f>
        <v>33511.29775835244</v>
      </c>
      <c r="U30" s="103"/>
      <c r="V30" s="279"/>
      <c r="W30" s="279"/>
    </row>
    <row r="31" spans="3:20" ht="12.75"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1"/>
    </row>
    <row r="32" spans="3:20" ht="12.75"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1"/>
    </row>
    <row r="33" spans="2:20" ht="12.75">
      <c r="B33" s="274" t="s">
        <v>118</v>
      </c>
      <c r="C33" s="150">
        <f aca="true" t="shared" si="4" ref="C33:J33">+C27/C30</f>
        <v>0.5940614329096249</v>
      </c>
      <c r="D33" s="150">
        <f t="shared" si="4"/>
        <v>0.5055536892778814</v>
      </c>
      <c r="E33" s="150">
        <f t="shared" si="4"/>
        <v>0.5974604469491279</v>
      </c>
      <c r="F33" s="150">
        <f t="shared" si="4"/>
        <v>0.465533209100994</v>
      </c>
      <c r="G33" s="150">
        <f t="shared" si="4"/>
        <v>0.5842234593341186</v>
      </c>
      <c r="H33" s="150">
        <f t="shared" si="4"/>
        <v>0.5496699168978647</v>
      </c>
      <c r="I33" s="150">
        <f t="shared" si="4"/>
        <v>0.5672858017172897</v>
      </c>
      <c r="J33" s="150">
        <f t="shared" si="4"/>
        <v>0.6932597264274893</v>
      </c>
      <c r="K33" s="150">
        <f>+K27/K30</f>
        <v>0.5910475802506658</v>
      </c>
      <c r="L33" s="150">
        <f>+L27/L30</f>
        <v>0.619615524260582</v>
      </c>
      <c r="M33" s="150">
        <f>+M27/M30</f>
        <v>0.5442533634827427</v>
      </c>
      <c r="N33" s="150">
        <f>+N27/N30</f>
        <v>0.5557733587707911</v>
      </c>
      <c r="O33" s="150">
        <f>AVERAGE(C33:N33)</f>
        <v>0.5723114591149311</v>
      </c>
      <c r="P33" s="280"/>
      <c r="Q33" s="280"/>
      <c r="R33" s="280"/>
      <c r="S33" s="280"/>
      <c r="T33" s="281">
        <f>+AVERAGE(C33:O33)</f>
        <v>0.5723114591149311</v>
      </c>
    </row>
    <row r="34" spans="2:20" ht="12.75">
      <c r="B34" s="274" t="s">
        <v>117</v>
      </c>
      <c r="C34" s="150">
        <f aca="true" t="shared" si="5" ref="C34:J34">+C28/C30</f>
        <v>0.4059385670903752</v>
      </c>
      <c r="D34" s="150">
        <f t="shared" si="5"/>
        <v>0.49444631072211864</v>
      </c>
      <c r="E34" s="150">
        <f t="shared" si="5"/>
        <v>0.4025395530508721</v>
      </c>
      <c r="F34" s="150">
        <f t="shared" si="5"/>
        <v>0.5344667908990061</v>
      </c>
      <c r="G34" s="150">
        <f t="shared" si="5"/>
        <v>0.4157765406658814</v>
      </c>
      <c r="H34" s="150">
        <f t="shared" si="5"/>
        <v>0.4503300831021353</v>
      </c>
      <c r="I34" s="150">
        <f t="shared" si="5"/>
        <v>0.4327141982827103</v>
      </c>
      <c r="J34" s="150">
        <f t="shared" si="5"/>
        <v>0.3067402735725106</v>
      </c>
      <c r="K34" s="150">
        <f>+K28/K30</f>
        <v>0.40895241974933416</v>
      </c>
      <c r="L34" s="150">
        <f>+L28/L30</f>
        <v>0.3803844757394181</v>
      </c>
      <c r="M34" s="150">
        <f>+M28/M30</f>
        <v>0.4557466365172573</v>
      </c>
      <c r="N34" s="150">
        <f>+N28/N30</f>
        <v>0.4442266412292088</v>
      </c>
      <c r="O34" s="150">
        <f>AVERAGE(C34:N34)</f>
        <v>0.42768854088506897</v>
      </c>
      <c r="P34" s="280"/>
      <c r="Q34" s="280"/>
      <c r="R34" s="280"/>
      <c r="S34" s="280"/>
      <c r="T34" s="281">
        <f>+AVERAGE(C34:O34)</f>
        <v>0.42768854088506897</v>
      </c>
    </row>
    <row r="35" spans="3:20" ht="12.75">
      <c r="C35" s="282"/>
      <c r="D35" s="282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1"/>
    </row>
    <row r="36" spans="2:20" ht="25.5">
      <c r="B36" s="274" t="s">
        <v>483</v>
      </c>
      <c r="C36" s="283">
        <f>AVERAGE(C33:L33)</f>
        <v>0.5767710787125638</v>
      </c>
      <c r="D36" s="282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1"/>
    </row>
    <row r="37" spans="2:20" ht="25.5">
      <c r="B37" s="274" t="s">
        <v>484</v>
      </c>
      <c r="C37" s="283">
        <f>AVERAGE(C34:L34)</f>
        <v>0.42322892128743617</v>
      </c>
      <c r="D37" s="284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1"/>
    </row>
    <row r="38" spans="2:20" ht="12.75">
      <c r="B38" s="274"/>
      <c r="C38" s="282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1"/>
    </row>
    <row r="39" spans="2:20" ht="12.75">
      <c r="B39" s="274" t="s">
        <v>1130</v>
      </c>
      <c r="C39" s="204">
        <v>50507.65999999998</v>
      </c>
      <c r="D39" s="204">
        <v>47997.759999999995</v>
      </c>
      <c r="E39" s="204">
        <v>51253.539999999986</v>
      </c>
      <c r="F39" s="204">
        <v>39270.47</v>
      </c>
      <c r="G39" s="204">
        <v>51834.87999999999</v>
      </c>
      <c r="H39" s="204">
        <v>43950.84</v>
      </c>
      <c r="I39" s="204">
        <v>29743.88</v>
      </c>
      <c r="J39" s="285">
        <v>24093.4</v>
      </c>
      <c r="K39" s="286">
        <v>64903.64</v>
      </c>
      <c r="L39" s="287">
        <v>28710</v>
      </c>
      <c r="M39" s="287">
        <v>46862.81</v>
      </c>
      <c r="N39" s="287">
        <v>53499.33</v>
      </c>
      <c r="O39" s="118"/>
      <c r="P39" s="118"/>
      <c r="Q39" s="118"/>
      <c r="R39" s="118"/>
      <c r="S39" s="118"/>
      <c r="T39" s="172">
        <f>+T30+T30*20/100</f>
        <v>40213.55731002293</v>
      </c>
    </row>
    <row r="40" spans="3:20" ht="12.75">
      <c r="C40" s="204"/>
      <c r="D40" s="204"/>
      <c r="E40" s="204"/>
      <c r="F40" s="204"/>
      <c r="G40" s="204"/>
      <c r="H40" s="204"/>
      <c r="I40" s="204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72"/>
    </row>
    <row r="41" spans="3:20" ht="12.75"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72"/>
    </row>
    <row r="42" spans="2:20" ht="12.75">
      <c r="B42" s="40" t="s">
        <v>521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72"/>
    </row>
    <row r="43" spans="3:20" ht="12.75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72"/>
    </row>
    <row r="44" spans="2:20" ht="12.75">
      <c r="B44" s="274" t="s">
        <v>511</v>
      </c>
      <c r="C44" s="118"/>
      <c r="D44" s="118">
        <f>+C46</f>
        <v>23172.29</v>
      </c>
      <c r="E44" s="118">
        <f aca="true" t="shared" si="6" ref="E44:K44">+C47+D46</f>
        <v>32761.7</v>
      </c>
      <c r="F44" s="118">
        <f t="shared" si="6"/>
        <v>37889.939999999995</v>
      </c>
      <c r="G44" s="118">
        <f t="shared" si="6"/>
        <v>20699.94</v>
      </c>
      <c r="H44" s="118">
        <f t="shared" si="6"/>
        <v>24913.32</v>
      </c>
      <c r="I44" s="118">
        <f t="shared" si="6"/>
        <v>11549.76</v>
      </c>
      <c r="J44" s="133">
        <f t="shared" si="6"/>
        <v>35098.68</v>
      </c>
      <c r="K44" s="133">
        <f t="shared" si="6"/>
        <v>14599.38</v>
      </c>
      <c r="L44" s="133">
        <f>+K46</f>
        <v>41745.740000000005</v>
      </c>
      <c r="M44" s="133">
        <f>+L46+K47</f>
        <v>17121.558</v>
      </c>
      <c r="N44" s="118">
        <f>+L47+M46</f>
        <v>23375.532</v>
      </c>
      <c r="O44" s="118"/>
      <c r="P44" s="118"/>
      <c r="Q44" s="118"/>
      <c r="R44" s="118"/>
      <c r="S44" s="118"/>
      <c r="T44" s="288">
        <f>+N46+M47</f>
        <v>29294.833000000002</v>
      </c>
    </row>
    <row r="45" spans="2:20" ht="12.75">
      <c r="B45" s="274" t="s">
        <v>486</v>
      </c>
      <c r="C45" s="118">
        <v>19504</v>
      </c>
      <c r="D45" s="118">
        <v>18642.12</v>
      </c>
      <c r="E45" s="118">
        <v>17601.08</v>
      </c>
      <c r="F45" s="118">
        <v>16296.31</v>
      </c>
      <c r="G45" s="118">
        <v>18164.65</v>
      </c>
      <c r="H45" s="118">
        <v>19870.7</v>
      </c>
      <c r="I45" s="118">
        <v>11274.31</v>
      </c>
      <c r="J45" s="133">
        <v>9921.58</v>
      </c>
      <c r="K45" s="133">
        <f>17373+3936.57</f>
        <v>21309.57</v>
      </c>
      <c r="L45" s="133">
        <v>12135.48</v>
      </c>
      <c r="M45" s="133">
        <v>22731.61</v>
      </c>
      <c r="N45" s="133">
        <v>23630.76</v>
      </c>
      <c r="O45" s="118"/>
      <c r="P45" s="118"/>
      <c r="Q45" s="118"/>
      <c r="R45" s="118"/>
      <c r="S45" s="118"/>
      <c r="T45" s="288">
        <f>+T39*(100%-AVERAGE(G52:N52))*$C$56</f>
        <v>14781.035184886365</v>
      </c>
    </row>
    <row r="46" spans="2:20" ht="12.75">
      <c r="B46" s="274" t="s">
        <v>513</v>
      </c>
      <c r="C46" s="118">
        <v>23172.29</v>
      </c>
      <c r="D46" s="118">
        <v>24370.74</v>
      </c>
      <c r="E46" s="118">
        <v>34229.02</v>
      </c>
      <c r="F46" s="118">
        <v>20290.62</v>
      </c>
      <c r="G46" s="118">
        <v>24913.32</v>
      </c>
      <c r="H46" s="118">
        <v>8752.11</v>
      </c>
      <c r="I46" s="118">
        <v>19777.6</v>
      </c>
      <c r="J46" s="133">
        <v>14599.38</v>
      </c>
      <c r="K46" s="133">
        <f>48995-1108.2-3936.57-2204.49</f>
        <v>41745.740000000005</v>
      </c>
      <c r="L46" s="133">
        <f>+(L39-L45)*$C$58</f>
        <v>14917.068000000001</v>
      </c>
      <c r="M46" s="133">
        <f>+(M39-M45)*$C$58</f>
        <v>21718.079999999998</v>
      </c>
      <c r="N46" s="133">
        <f>+(N39-N45)*$C$58</f>
        <v>26881.713000000003</v>
      </c>
      <c r="O46" s="118"/>
      <c r="P46" s="118"/>
      <c r="Q46" s="118"/>
      <c r="R46" s="118"/>
      <c r="S46" s="118"/>
      <c r="T46" s="172">
        <f>+$T$39*AVERAGE($G$52:$N$52)*$C$58*$C$57</f>
        <v>23068.69919644625</v>
      </c>
    </row>
    <row r="47" spans="2:20" ht="25.5">
      <c r="B47" s="274" t="s">
        <v>514</v>
      </c>
      <c r="C47" s="118">
        <v>8390.96</v>
      </c>
      <c r="D47" s="118">
        <v>3660.92</v>
      </c>
      <c r="E47" s="118">
        <v>409.32</v>
      </c>
      <c r="F47" s="118">
        <v>0</v>
      </c>
      <c r="G47" s="133">
        <f>2642.3+155.35</f>
        <v>2797.65</v>
      </c>
      <c r="H47" s="118">
        <v>15321.08</v>
      </c>
      <c r="I47" s="118">
        <v>0</v>
      </c>
      <c r="J47" s="133">
        <v>0</v>
      </c>
      <c r="K47" s="133">
        <v>2204.49</v>
      </c>
      <c r="L47" s="133">
        <f>+(L39-L45)*$C$59</f>
        <v>1657.4520000000002</v>
      </c>
      <c r="M47" s="133">
        <f>+(M39-M45)*$C$59</f>
        <v>2413.12</v>
      </c>
      <c r="N47" s="133">
        <f>+(N39-N45)*$C$59</f>
        <v>2986.8570000000004</v>
      </c>
      <c r="O47" s="118"/>
      <c r="P47" s="118"/>
      <c r="Q47" s="118"/>
      <c r="R47" s="118"/>
      <c r="S47" s="118"/>
      <c r="T47" s="172">
        <f>+$T$39*AVERAGE($C$52:$N$52)*$C$59</f>
        <v>2087.8825745805443</v>
      </c>
    </row>
    <row r="48" spans="3:20" ht="12.75"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72"/>
    </row>
    <row r="49" spans="2:20" ht="25.5" customHeight="1" thickBot="1">
      <c r="B49" s="274" t="s">
        <v>1035</v>
      </c>
      <c r="C49" s="119">
        <f>+C44+C45</f>
        <v>19504</v>
      </c>
      <c r="D49" s="119">
        <f>+D44+D45</f>
        <v>41814.41</v>
      </c>
      <c r="E49" s="119">
        <f aca="true" t="shared" si="7" ref="E49:J49">+E44+E45</f>
        <v>50362.78</v>
      </c>
      <c r="F49" s="119">
        <f t="shared" si="7"/>
        <v>54186.24999999999</v>
      </c>
      <c r="G49" s="119">
        <f t="shared" si="7"/>
        <v>38864.59</v>
      </c>
      <c r="H49" s="119">
        <f t="shared" si="7"/>
        <v>44784.020000000004</v>
      </c>
      <c r="I49" s="119">
        <f t="shared" si="7"/>
        <v>22824.07</v>
      </c>
      <c r="J49" s="119">
        <f t="shared" si="7"/>
        <v>45020.26</v>
      </c>
      <c r="K49" s="119">
        <f>+K44+K45</f>
        <v>35908.95</v>
      </c>
      <c r="L49" s="119">
        <f>+L44+L45</f>
        <v>53881.22</v>
      </c>
      <c r="M49" s="119">
        <f>+M44+M45</f>
        <v>39853.168000000005</v>
      </c>
      <c r="N49" s="119">
        <f>+N44+N45</f>
        <v>47006.292</v>
      </c>
      <c r="O49" s="119">
        <f>+O44+O45</f>
        <v>0</v>
      </c>
      <c r="P49" s="118"/>
      <c r="Q49" s="118"/>
      <c r="R49" s="118"/>
      <c r="S49" s="118"/>
      <c r="T49" s="289">
        <f>+SUM(T44+T45)</f>
        <v>44075.86818488636</v>
      </c>
    </row>
    <row r="50" ht="13.5" thickTop="1"/>
    <row r="52" spans="2:20" ht="25.5">
      <c r="B52" s="274" t="s">
        <v>515</v>
      </c>
      <c r="C52" s="150">
        <f>++C46/C39</f>
        <v>0.45878763736035305</v>
      </c>
      <c r="D52" s="150">
        <f aca="true" t="shared" si="8" ref="D52:J52">++D46/D39</f>
        <v>0.5077474448807612</v>
      </c>
      <c r="E52" s="150">
        <f t="shared" si="8"/>
        <v>0.6678371874411018</v>
      </c>
      <c r="F52" s="150">
        <f t="shared" si="8"/>
        <v>0.5166890032128466</v>
      </c>
      <c r="G52" s="150">
        <f t="shared" si="8"/>
        <v>0.4806284879988148</v>
      </c>
      <c r="H52" s="150">
        <f t="shared" si="8"/>
        <v>0.1991340779834925</v>
      </c>
      <c r="I52" s="150">
        <f t="shared" si="8"/>
        <v>0.6649300629238687</v>
      </c>
      <c r="J52" s="150">
        <f t="shared" si="8"/>
        <v>0.6059493471241086</v>
      </c>
      <c r="K52" s="150">
        <f>++K46/K39</f>
        <v>0.6431956666837176</v>
      </c>
      <c r="L52" s="150">
        <f>++L46/L39</f>
        <v>0.5195774294670846</v>
      </c>
      <c r="M52" s="150">
        <f>++M46/M39</f>
        <v>0.46343955900211703</v>
      </c>
      <c r="N52" s="150">
        <f>++N46/N39</f>
        <v>0.5024682178262794</v>
      </c>
      <c r="O52" s="290">
        <f>+AVERAGE(C52:N52)</f>
        <v>0.5191986768253788</v>
      </c>
      <c r="T52" s="173">
        <f>+T46/T39</f>
        <v>0.5736547756419587</v>
      </c>
    </row>
    <row r="54" spans="2:8" ht="12.75">
      <c r="B54" s="326" t="s">
        <v>578</v>
      </c>
      <c r="H54" s="150"/>
    </row>
    <row r="55" spans="2:14" ht="12.75">
      <c r="B55" s="326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</row>
    <row r="56" spans="2:8" ht="25.5">
      <c r="B56" s="291" t="s">
        <v>579</v>
      </c>
      <c r="C56" s="292">
        <v>0.75</v>
      </c>
      <c r="H56" s="150"/>
    </row>
    <row r="57" spans="2:3" ht="25.5">
      <c r="B57" s="291" t="s">
        <v>581</v>
      </c>
      <c r="C57" s="292">
        <v>1.25</v>
      </c>
    </row>
    <row r="58" spans="2:3" ht="29.25" customHeight="1">
      <c r="B58" s="291" t="s">
        <v>580</v>
      </c>
      <c r="C58" s="292">
        <v>0.9</v>
      </c>
    </row>
    <row r="59" spans="2:3" ht="25.5">
      <c r="B59" s="291" t="s">
        <v>582</v>
      </c>
      <c r="C59" s="292">
        <v>0.1</v>
      </c>
    </row>
  </sheetData>
  <sheetProtection/>
  <mergeCells count="3">
    <mergeCell ref="C4:J4"/>
    <mergeCell ref="G1:J1"/>
    <mergeCell ref="B54:B55"/>
  </mergeCells>
  <conditionalFormatting sqref="B25">
    <cfRule type="duplicateValues" priority="1" dxfId="0" stopIfTrue="1">
      <formula>AND(COUNTIF($B$25:$B$25,B25)&gt;1,NOT(ISBLANK(B25)))</formula>
    </cfRule>
  </conditionalFormatting>
  <conditionalFormatting sqref="O6:O25">
    <cfRule type="top10" priority="14" dxfId="1" stopIfTrue="1" rank="20"/>
  </conditionalFormatting>
  <conditionalFormatting sqref="B6:B24">
    <cfRule type="duplicateValues" priority="16" dxfId="0" stopIfTrue="1">
      <formula>AND(COUNTIF($B$6:$B$24,B6)&gt;1,NOT(ISBLANK(B6)))</formula>
    </cfRule>
  </conditionalFormatting>
  <printOptions/>
  <pageMargins left="0.75" right="0.75" top="1" bottom="1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464"/>
  <sheetViews>
    <sheetView zoomScalePageLayoutView="0" workbookViewId="0" topLeftCell="A438">
      <selection activeCell="B456" sqref="B456"/>
    </sheetView>
  </sheetViews>
  <sheetFormatPr defaultColWidth="9.140625" defaultRowHeight="12.75"/>
  <cols>
    <col min="1" max="1" width="23.8515625" style="0" customWidth="1"/>
    <col min="2" max="3" width="14.28125" style="0" customWidth="1"/>
  </cols>
  <sheetData>
    <row r="1" spans="1:3" ht="12.75" customHeight="1">
      <c r="A1" s="327" t="s">
        <v>121</v>
      </c>
      <c r="B1" s="327"/>
      <c r="C1" s="327"/>
    </row>
    <row r="2" spans="1:3" ht="12.75" customHeight="1">
      <c r="A2" s="328" t="s">
        <v>1</v>
      </c>
      <c r="B2" s="328"/>
      <c r="C2" s="328"/>
    </row>
    <row r="3" spans="1:3" ht="12.75" customHeight="1">
      <c r="A3" s="328" t="s">
        <v>739</v>
      </c>
      <c r="B3" s="328"/>
      <c r="C3" s="328"/>
    </row>
    <row r="4" ht="12.75" customHeight="1"/>
    <row r="5" spans="1:4" ht="12.75" customHeight="1">
      <c r="A5" s="3" t="s">
        <v>94</v>
      </c>
      <c r="B5" s="3" t="s">
        <v>719</v>
      </c>
      <c r="C5" s="3" t="s">
        <v>584</v>
      </c>
      <c r="D5" s="2"/>
    </row>
    <row r="6" ht="12.75" customHeight="1"/>
    <row r="7" spans="1:4" ht="12.75" customHeight="1">
      <c r="A7" s="1" t="s">
        <v>122</v>
      </c>
      <c r="B7" s="1">
        <v>0</v>
      </c>
      <c r="C7" s="1">
        <v>0</v>
      </c>
      <c r="D7" s="2"/>
    </row>
    <row r="8" spans="1:4" ht="12.75" customHeight="1">
      <c r="A8" s="1" t="s">
        <v>123</v>
      </c>
      <c r="B8" s="1">
        <v>0</v>
      </c>
      <c r="C8" s="1">
        <v>0</v>
      </c>
      <c r="D8" s="2"/>
    </row>
    <row r="9" spans="1:4" ht="12.75" customHeight="1">
      <c r="A9" s="1" t="s">
        <v>95</v>
      </c>
      <c r="B9" s="1">
        <v>0</v>
      </c>
      <c r="C9" s="1">
        <v>0</v>
      </c>
      <c r="D9" s="2"/>
    </row>
    <row r="10" spans="1:4" ht="12.75" customHeight="1">
      <c r="A10" s="1" t="s">
        <v>720</v>
      </c>
      <c r="B10" s="1">
        <v>106.85</v>
      </c>
      <c r="C10" s="1">
        <v>0</v>
      </c>
      <c r="D10" s="2"/>
    </row>
    <row r="11" spans="1:4" ht="12.75" customHeight="1">
      <c r="A11" s="1" t="s">
        <v>124</v>
      </c>
      <c r="B11" s="1">
        <v>0</v>
      </c>
      <c r="C11" s="1">
        <v>0</v>
      </c>
      <c r="D11" s="2"/>
    </row>
    <row r="12" spans="1:4" ht="12.75" customHeight="1">
      <c r="A12" s="1" t="s">
        <v>125</v>
      </c>
      <c r="B12" s="1">
        <v>0</v>
      </c>
      <c r="C12" s="1">
        <v>-166.88</v>
      </c>
      <c r="D12" s="2"/>
    </row>
    <row r="13" spans="1:4" ht="12.75" customHeight="1">
      <c r="A13" s="1" t="s">
        <v>721</v>
      </c>
      <c r="B13" s="1">
        <v>2127.11</v>
      </c>
      <c r="C13" s="1">
        <v>0</v>
      </c>
      <c r="D13" s="2"/>
    </row>
    <row r="14" spans="1:4" ht="12.75" customHeight="1">
      <c r="A14" s="1" t="s">
        <v>126</v>
      </c>
      <c r="B14" s="1">
        <v>0</v>
      </c>
      <c r="C14" s="1">
        <v>0</v>
      </c>
      <c r="D14" s="2"/>
    </row>
    <row r="15" spans="1:4" ht="12.75" customHeight="1">
      <c r="A15" s="1" t="s">
        <v>127</v>
      </c>
      <c r="B15" s="1">
        <v>0</v>
      </c>
      <c r="C15" s="1">
        <v>0</v>
      </c>
      <c r="D15" s="2"/>
    </row>
    <row r="16" spans="1:4" ht="12.75" customHeight="1">
      <c r="A16" s="1" t="s">
        <v>128</v>
      </c>
      <c r="B16" s="1">
        <v>0</v>
      </c>
      <c r="C16" s="1">
        <v>0</v>
      </c>
      <c r="D16" s="2"/>
    </row>
    <row r="17" spans="1:4" ht="12.75" customHeight="1">
      <c r="A17" s="1" t="s">
        <v>722</v>
      </c>
      <c r="B17" s="1">
        <v>159.3</v>
      </c>
      <c r="C17" s="1">
        <v>0</v>
      </c>
      <c r="D17" s="2"/>
    </row>
    <row r="18" spans="1:4" ht="12.75" customHeight="1">
      <c r="A18" s="1" t="s">
        <v>129</v>
      </c>
      <c r="B18" s="1">
        <v>0</v>
      </c>
      <c r="C18" s="1">
        <v>0</v>
      </c>
      <c r="D18" s="2"/>
    </row>
    <row r="19" spans="1:4" ht="12.75" customHeight="1">
      <c r="A19" s="1" t="s">
        <v>130</v>
      </c>
      <c r="B19" s="1">
        <v>180.37</v>
      </c>
      <c r="C19" s="1">
        <v>0</v>
      </c>
      <c r="D19" s="2"/>
    </row>
    <row r="20" spans="1:4" ht="12.75" customHeight="1">
      <c r="A20" s="1" t="s">
        <v>96</v>
      </c>
      <c r="B20" s="1">
        <v>2388.3</v>
      </c>
      <c r="C20" s="1">
        <v>125.28</v>
      </c>
      <c r="D20" s="2"/>
    </row>
    <row r="21" spans="1:4" ht="12.75" customHeight="1">
      <c r="A21" s="1" t="s">
        <v>585</v>
      </c>
      <c r="B21" s="1">
        <v>0</v>
      </c>
      <c r="C21" s="1">
        <v>0</v>
      </c>
      <c r="D21" s="2"/>
    </row>
    <row r="22" spans="1:4" ht="12.75" customHeight="1">
      <c r="A22" s="1" t="s">
        <v>538</v>
      </c>
      <c r="B22" s="1">
        <v>266.72</v>
      </c>
      <c r="C22" s="1">
        <v>371.83</v>
      </c>
      <c r="D22" s="2"/>
    </row>
    <row r="23" spans="1:4" ht="12.75" customHeight="1">
      <c r="A23" s="1" t="s">
        <v>131</v>
      </c>
      <c r="B23" s="1">
        <v>0</v>
      </c>
      <c r="C23" s="1">
        <v>0</v>
      </c>
      <c r="D23" s="2"/>
    </row>
    <row r="24" spans="1:4" ht="12.75" customHeight="1">
      <c r="A24" s="1" t="s">
        <v>539</v>
      </c>
      <c r="B24" s="1">
        <v>0</v>
      </c>
      <c r="C24" s="1">
        <v>0</v>
      </c>
      <c r="D24" s="2"/>
    </row>
    <row r="25" spans="1:4" ht="12.75" customHeight="1">
      <c r="A25" s="1" t="s">
        <v>132</v>
      </c>
      <c r="B25" s="1">
        <v>0</v>
      </c>
      <c r="C25" s="1">
        <v>0</v>
      </c>
      <c r="D25" s="2"/>
    </row>
    <row r="26" spans="1:4" ht="12.75" customHeight="1">
      <c r="A26" s="1" t="s">
        <v>540</v>
      </c>
      <c r="B26" s="1">
        <v>0</v>
      </c>
      <c r="C26" s="1">
        <v>0</v>
      </c>
      <c r="D26" s="2"/>
    </row>
    <row r="27" spans="1:4" ht="12.75" customHeight="1">
      <c r="A27" s="1" t="s">
        <v>133</v>
      </c>
      <c r="B27" s="1">
        <v>0</v>
      </c>
      <c r="C27" s="1">
        <v>0</v>
      </c>
      <c r="D27" s="2"/>
    </row>
    <row r="28" spans="1:4" ht="12.75" customHeight="1">
      <c r="A28" s="1" t="s">
        <v>134</v>
      </c>
      <c r="B28" s="1">
        <v>0</v>
      </c>
      <c r="C28" s="1">
        <v>0</v>
      </c>
      <c r="D28" s="2"/>
    </row>
    <row r="29" spans="1:4" ht="12.75" customHeight="1">
      <c r="A29" s="1" t="s">
        <v>586</v>
      </c>
      <c r="B29" s="1">
        <v>0</v>
      </c>
      <c r="C29" s="1">
        <v>101.84</v>
      </c>
      <c r="D29" s="2"/>
    </row>
    <row r="30" spans="1:4" ht="12.75" customHeight="1">
      <c r="A30" s="1" t="s">
        <v>135</v>
      </c>
      <c r="B30" s="1">
        <v>0</v>
      </c>
      <c r="C30" s="1">
        <v>0</v>
      </c>
      <c r="D30" s="2"/>
    </row>
    <row r="31" spans="1:4" ht="12.75" customHeight="1">
      <c r="A31" s="1" t="s">
        <v>504</v>
      </c>
      <c r="B31" s="1">
        <v>0</v>
      </c>
      <c r="C31" s="1">
        <v>0</v>
      </c>
      <c r="D31" s="2"/>
    </row>
    <row r="32" spans="1:4" ht="12.75" customHeight="1">
      <c r="A32" s="1" t="s">
        <v>541</v>
      </c>
      <c r="B32" s="1">
        <v>0</v>
      </c>
      <c r="C32" s="1">
        <v>0</v>
      </c>
      <c r="D32" s="2"/>
    </row>
    <row r="33" spans="1:4" ht="12.75" customHeight="1">
      <c r="A33" s="1" t="s">
        <v>136</v>
      </c>
      <c r="B33" s="1">
        <v>280.35</v>
      </c>
      <c r="C33" s="1">
        <v>120.24</v>
      </c>
      <c r="D33" s="2"/>
    </row>
    <row r="34" spans="1:4" ht="12.75" customHeight="1">
      <c r="A34" s="1" t="s">
        <v>137</v>
      </c>
      <c r="B34" s="1">
        <v>0</v>
      </c>
      <c r="C34" s="1">
        <v>0</v>
      </c>
      <c r="D34" s="2"/>
    </row>
    <row r="35" spans="1:4" ht="12.75" customHeight="1">
      <c r="A35" s="1" t="s">
        <v>138</v>
      </c>
      <c r="B35" s="1">
        <v>0</v>
      </c>
      <c r="C35" s="1">
        <v>0</v>
      </c>
      <c r="D35" s="2"/>
    </row>
    <row r="36" spans="1:4" ht="12.75" customHeight="1">
      <c r="A36" s="1" t="s">
        <v>139</v>
      </c>
      <c r="B36" s="1">
        <v>0</v>
      </c>
      <c r="C36" s="1">
        <v>0</v>
      </c>
      <c r="D36" s="2"/>
    </row>
    <row r="37" spans="1:4" ht="12.75" customHeight="1">
      <c r="A37" s="1" t="s">
        <v>140</v>
      </c>
      <c r="B37" s="1">
        <v>0</v>
      </c>
      <c r="C37" s="1">
        <v>0</v>
      </c>
      <c r="D37" s="2"/>
    </row>
    <row r="38" spans="1:4" ht="12.75" customHeight="1">
      <c r="A38" s="1" t="s">
        <v>141</v>
      </c>
      <c r="B38" s="1">
        <v>0</v>
      </c>
      <c r="C38" s="1">
        <v>165.35</v>
      </c>
      <c r="D38" s="2"/>
    </row>
    <row r="39" spans="1:4" ht="12.75" customHeight="1">
      <c r="A39" s="1" t="s">
        <v>587</v>
      </c>
      <c r="B39" s="1">
        <v>0</v>
      </c>
      <c r="C39" s="1">
        <v>189.49</v>
      </c>
      <c r="D39" s="2"/>
    </row>
    <row r="40" spans="1:4" ht="12.75" customHeight="1">
      <c r="A40" s="1" t="s">
        <v>723</v>
      </c>
      <c r="B40" s="1">
        <v>66.45</v>
      </c>
      <c r="C40" s="1">
        <v>0</v>
      </c>
      <c r="D40" s="2"/>
    </row>
    <row r="41" spans="1:4" ht="12.75" customHeight="1">
      <c r="A41" s="1" t="s">
        <v>542</v>
      </c>
      <c r="B41" s="1">
        <v>0</v>
      </c>
      <c r="C41" s="1">
        <v>0</v>
      </c>
      <c r="D41" s="2"/>
    </row>
    <row r="42" spans="1:4" ht="12.75" customHeight="1">
      <c r="A42" s="1" t="s">
        <v>142</v>
      </c>
      <c r="B42" s="1">
        <v>0</v>
      </c>
      <c r="C42" s="1">
        <v>0</v>
      </c>
      <c r="D42" s="2"/>
    </row>
    <row r="43" spans="1:4" ht="12.75" customHeight="1">
      <c r="A43" s="1" t="s">
        <v>143</v>
      </c>
      <c r="B43" s="1">
        <v>0</v>
      </c>
      <c r="C43" s="1">
        <v>0</v>
      </c>
      <c r="D43" s="2"/>
    </row>
    <row r="44" spans="1:4" ht="12.75" customHeight="1">
      <c r="A44" s="1" t="s">
        <v>144</v>
      </c>
      <c r="B44" s="1">
        <v>152.84</v>
      </c>
      <c r="C44" s="1">
        <v>0</v>
      </c>
      <c r="D44" s="2"/>
    </row>
    <row r="45" spans="1:4" ht="12.75" customHeight="1">
      <c r="A45" s="1" t="s">
        <v>145</v>
      </c>
      <c r="B45" s="1">
        <v>0</v>
      </c>
      <c r="C45" s="1">
        <v>0</v>
      </c>
      <c r="D45" s="2"/>
    </row>
    <row r="46" spans="1:4" ht="12.75" customHeight="1">
      <c r="A46" s="1" t="s">
        <v>146</v>
      </c>
      <c r="B46" s="1">
        <v>0</v>
      </c>
      <c r="C46" s="1">
        <v>0</v>
      </c>
      <c r="D46" s="2"/>
    </row>
    <row r="47" spans="1:4" ht="12.75" customHeight="1">
      <c r="A47" s="1" t="s">
        <v>147</v>
      </c>
      <c r="B47" s="1">
        <v>0</v>
      </c>
      <c r="C47" s="1">
        <v>402.58</v>
      </c>
      <c r="D47" s="2"/>
    </row>
    <row r="48" spans="1:4" ht="12.75" customHeight="1">
      <c r="A48" s="1" t="s">
        <v>543</v>
      </c>
      <c r="B48" s="1">
        <v>0</v>
      </c>
      <c r="C48" s="1">
        <v>0</v>
      </c>
      <c r="D48" s="2"/>
    </row>
    <row r="49" spans="1:4" ht="12.75" customHeight="1">
      <c r="A49" s="1" t="s">
        <v>588</v>
      </c>
      <c r="B49" s="1">
        <v>0</v>
      </c>
      <c r="C49" s="1">
        <v>30.81</v>
      </c>
      <c r="D49" s="2"/>
    </row>
    <row r="50" spans="1:4" ht="12.75" customHeight="1">
      <c r="A50" s="1" t="s">
        <v>148</v>
      </c>
      <c r="B50" s="1">
        <v>0</v>
      </c>
      <c r="C50" s="1">
        <v>324.42</v>
      </c>
      <c r="D50" s="2"/>
    </row>
    <row r="51" spans="1:4" ht="12.75" customHeight="1">
      <c r="A51" s="1" t="s">
        <v>149</v>
      </c>
      <c r="B51" s="1">
        <v>0</v>
      </c>
      <c r="C51" s="1">
        <v>600</v>
      </c>
      <c r="D51" s="2"/>
    </row>
    <row r="52" spans="1:4" ht="12.75" customHeight="1">
      <c r="A52" s="1" t="s">
        <v>150</v>
      </c>
      <c r="B52" s="1">
        <v>0</v>
      </c>
      <c r="C52" s="1">
        <v>0</v>
      </c>
      <c r="D52" s="2"/>
    </row>
    <row r="53" spans="1:4" ht="12.75" customHeight="1">
      <c r="A53" s="1" t="s">
        <v>151</v>
      </c>
      <c r="B53" s="1">
        <v>0</v>
      </c>
      <c r="C53" s="1">
        <v>0</v>
      </c>
      <c r="D53" s="2"/>
    </row>
    <row r="54" spans="1:4" ht="12.75" customHeight="1">
      <c r="A54" s="1" t="s">
        <v>152</v>
      </c>
      <c r="B54" s="1">
        <v>0</v>
      </c>
      <c r="C54" s="1">
        <v>0</v>
      </c>
      <c r="D54" s="2"/>
    </row>
    <row r="55" spans="1:4" ht="12.75" customHeight="1">
      <c r="A55" s="1" t="s">
        <v>153</v>
      </c>
      <c r="B55" s="1">
        <v>0</v>
      </c>
      <c r="C55" s="1">
        <v>0</v>
      </c>
      <c r="D55" s="2"/>
    </row>
    <row r="56" spans="1:4" ht="12.75" customHeight="1">
      <c r="A56" s="1" t="s">
        <v>544</v>
      </c>
      <c r="B56" s="1">
        <v>331.8</v>
      </c>
      <c r="C56" s="1">
        <v>0</v>
      </c>
      <c r="D56" s="2"/>
    </row>
    <row r="57" spans="1:4" ht="12.75" customHeight="1">
      <c r="A57" s="1" t="s">
        <v>154</v>
      </c>
      <c r="B57" s="1">
        <v>0</v>
      </c>
      <c r="C57" s="1">
        <v>0</v>
      </c>
      <c r="D57" s="2"/>
    </row>
    <row r="58" spans="1:4" ht="12.75" customHeight="1">
      <c r="A58" s="1" t="s">
        <v>589</v>
      </c>
      <c r="B58" s="1">
        <v>0</v>
      </c>
      <c r="C58" s="1">
        <v>229.68</v>
      </c>
      <c r="D58" s="2"/>
    </row>
    <row r="59" spans="1:4" ht="12.75" customHeight="1">
      <c r="A59" s="1" t="s">
        <v>590</v>
      </c>
      <c r="B59" s="1">
        <v>0</v>
      </c>
      <c r="C59" s="1">
        <v>32.43</v>
      </c>
      <c r="D59" s="2"/>
    </row>
    <row r="60" spans="1:4" ht="12.75" customHeight="1">
      <c r="A60" s="1" t="s">
        <v>155</v>
      </c>
      <c r="B60" s="1">
        <v>0</v>
      </c>
      <c r="C60" s="1">
        <v>0</v>
      </c>
      <c r="D60" s="2"/>
    </row>
    <row r="61" spans="1:4" ht="12.75" customHeight="1">
      <c r="A61" s="1" t="s">
        <v>156</v>
      </c>
      <c r="B61" s="1">
        <v>0</v>
      </c>
      <c r="C61" s="1">
        <v>0</v>
      </c>
      <c r="D61" s="2"/>
    </row>
    <row r="62" spans="1:4" ht="12.75" customHeight="1">
      <c r="A62" s="1" t="s">
        <v>157</v>
      </c>
      <c r="B62" s="1">
        <v>0</v>
      </c>
      <c r="C62" s="1">
        <v>0</v>
      </c>
      <c r="D62" s="2"/>
    </row>
    <row r="63" spans="1:4" ht="12.75" customHeight="1">
      <c r="A63" s="1" t="s">
        <v>158</v>
      </c>
      <c r="B63" s="1">
        <v>0</v>
      </c>
      <c r="C63" s="1">
        <v>0</v>
      </c>
      <c r="D63" s="2"/>
    </row>
    <row r="64" spans="1:4" ht="12.75" customHeight="1">
      <c r="A64" s="1" t="s">
        <v>159</v>
      </c>
      <c r="B64" s="1">
        <v>0</v>
      </c>
      <c r="C64" s="1">
        <v>190.78</v>
      </c>
      <c r="D64" s="2"/>
    </row>
    <row r="65" spans="1:4" ht="12.75" customHeight="1">
      <c r="A65" s="1" t="s">
        <v>591</v>
      </c>
      <c r="B65" s="1">
        <v>0</v>
      </c>
      <c r="C65" s="1">
        <v>33.27</v>
      </c>
      <c r="D65" s="2"/>
    </row>
    <row r="66" spans="1:4" ht="12.75" customHeight="1">
      <c r="A66" s="1" t="s">
        <v>160</v>
      </c>
      <c r="B66" s="1">
        <v>0</v>
      </c>
      <c r="C66" s="1">
        <v>0</v>
      </c>
      <c r="D66" s="2"/>
    </row>
    <row r="67" spans="1:4" ht="12.75" customHeight="1">
      <c r="A67" s="1" t="s">
        <v>161</v>
      </c>
      <c r="B67" s="1">
        <v>0</v>
      </c>
      <c r="C67" s="1">
        <v>0</v>
      </c>
      <c r="D67" s="2"/>
    </row>
    <row r="68" spans="1:4" ht="12.75" customHeight="1">
      <c r="A68" s="1" t="s">
        <v>162</v>
      </c>
      <c r="B68" s="1">
        <v>1101.35</v>
      </c>
      <c r="C68" s="1">
        <v>539.37</v>
      </c>
      <c r="D68" s="2"/>
    </row>
    <row r="69" spans="1:4" ht="12.75" customHeight="1">
      <c r="A69" s="1" t="s">
        <v>163</v>
      </c>
      <c r="B69" s="1">
        <v>0</v>
      </c>
      <c r="C69" s="1">
        <v>0</v>
      </c>
      <c r="D69" s="2"/>
    </row>
    <row r="70" spans="1:4" ht="12.75" customHeight="1">
      <c r="A70" s="1" t="s">
        <v>164</v>
      </c>
      <c r="B70" s="1">
        <v>0</v>
      </c>
      <c r="C70" s="1">
        <v>0</v>
      </c>
      <c r="D70" s="2"/>
    </row>
    <row r="71" spans="1:4" ht="12.75" customHeight="1">
      <c r="A71" s="1" t="s">
        <v>165</v>
      </c>
      <c r="B71" s="1">
        <v>0</v>
      </c>
      <c r="C71" s="1">
        <v>0</v>
      </c>
      <c r="D71" s="2"/>
    </row>
    <row r="72" spans="1:4" ht="12.75" customHeight="1">
      <c r="A72" s="1" t="s">
        <v>545</v>
      </c>
      <c r="B72" s="1">
        <v>528.4</v>
      </c>
      <c r="C72" s="1">
        <v>354.12</v>
      </c>
      <c r="D72" s="2"/>
    </row>
    <row r="73" spans="1:4" ht="12.75" customHeight="1">
      <c r="A73" s="1" t="s">
        <v>592</v>
      </c>
      <c r="B73" s="1">
        <v>0</v>
      </c>
      <c r="C73" s="1">
        <v>37.07</v>
      </c>
      <c r="D73" s="2"/>
    </row>
    <row r="74" spans="1:4" ht="12.75" customHeight="1">
      <c r="A74" s="1" t="s">
        <v>166</v>
      </c>
      <c r="B74" s="1">
        <v>0</v>
      </c>
      <c r="C74" s="1">
        <v>0</v>
      </c>
      <c r="D74" s="2"/>
    </row>
    <row r="75" spans="1:4" ht="12.75" customHeight="1">
      <c r="A75" s="1" t="s">
        <v>167</v>
      </c>
      <c r="B75" s="1">
        <v>0</v>
      </c>
      <c r="C75" s="1">
        <v>0</v>
      </c>
      <c r="D75" s="2"/>
    </row>
    <row r="76" spans="1:4" ht="12.75" customHeight="1">
      <c r="A76" s="1" t="s">
        <v>168</v>
      </c>
      <c r="B76" s="1">
        <v>0</v>
      </c>
      <c r="C76" s="1">
        <v>0</v>
      </c>
      <c r="D76" s="2"/>
    </row>
    <row r="77" spans="1:4" ht="12.75" customHeight="1">
      <c r="A77" s="1" t="s">
        <v>546</v>
      </c>
      <c r="B77" s="1">
        <v>0</v>
      </c>
      <c r="C77" s="1">
        <v>0</v>
      </c>
      <c r="D77" s="2"/>
    </row>
    <row r="78" spans="1:4" ht="12.75" customHeight="1">
      <c r="A78" s="1" t="s">
        <v>169</v>
      </c>
      <c r="B78" s="1">
        <v>0</v>
      </c>
      <c r="C78" s="1">
        <v>0</v>
      </c>
      <c r="D78" s="2"/>
    </row>
    <row r="79" spans="1:4" ht="12.75" customHeight="1">
      <c r="A79" s="1" t="s">
        <v>170</v>
      </c>
      <c r="B79" s="1">
        <v>0</v>
      </c>
      <c r="C79" s="1">
        <v>0</v>
      </c>
      <c r="D79" s="2"/>
    </row>
    <row r="80" spans="1:4" ht="12.75" customHeight="1">
      <c r="A80" s="1" t="s">
        <v>171</v>
      </c>
      <c r="B80" s="1">
        <v>0</v>
      </c>
      <c r="C80" s="1">
        <v>0</v>
      </c>
      <c r="D80" s="2"/>
    </row>
    <row r="81" spans="1:4" ht="12.75" customHeight="1">
      <c r="A81" s="1" t="s">
        <v>172</v>
      </c>
      <c r="B81" s="1">
        <v>0</v>
      </c>
      <c r="C81" s="1">
        <v>0</v>
      </c>
      <c r="D81" s="2"/>
    </row>
    <row r="82" spans="1:4" ht="12.75" customHeight="1">
      <c r="A82" s="1" t="s">
        <v>173</v>
      </c>
      <c r="B82" s="1">
        <v>0</v>
      </c>
      <c r="C82" s="1">
        <v>0</v>
      </c>
      <c r="D82" s="2"/>
    </row>
    <row r="83" spans="1:4" ht="12.75" customHeight="1">
      <c r="A83" s="1" t="s">
        <v>174</v>
      </c>
      <c r="B83" s="1">
        <v>0</v>
      </c>
      <c r="C83" s="1">
        <v>0</v>
      </c>
      <c r="D83" s="2"/>
    </row>
    <row r="84" spans="1:4" ht="12.75" customHeight="1">
      <c r="A84" s="1" t="s">
        <v>175</v>
      </c>
      <c r="B84" s="1">
        <v>35.02</v>
      </c>
      <c r="C84" s="1">
        <v>0</v>
      </c>
      <c r="D84" s="2"/>
    </row>
    <row r="85" spans="1:4" ht="12.75" customHeight="1">
      <c r="A85" s="1" t="s">
        <v>176</v>
      </c>
      <c r="B85" s="1">
        <v>0</v>
      </c>
      <c r="C85" s="1">
        <v>207.67</v>
      </c>
      <c r="D85" s="2"/>
    </row>
    <row r="86" spans="1:4" ht="12.75" customHeight="1">
      <c r="A86" s="1" t="s">
        <v>177</v>
      </c>
      <c r="B86" s="1">
        <v>0</v>
      </c>
      <c r="C86" s="1">
        <v>0</v>
      </c>
      <c r="D86" s="2"/>
    </row>
    <row r="87" spans="1:4" ht="12.75" customHeight="1">
      <c r="A87" s="1" t="s">
        <v>178</v>
      </c>
      <c r="B87" s="1">
        <v>0</v>
      </c>
      <c r="C87" s="1">
        <v>0</v>
      </c>
      <c r="D87" s="2"/>
    </row>
    <row r="88" spans="1:4" ht="12.75" customHeight="1">
      <c r="A88" s="1" t="s">
        <v>179</v>
      </c>
      <c r="B88" s="1">
        <v>77.69</v>
      </c>
      <c r="C88" s="1">
        <v>169.13</v>
      </c>
      <c r="D88" s="2"/>
    </row>
    <row r="89" spans="1:4" ht="12.75" customHeight="1">
      <c r="A89" s="1" t="s">
        <v>180</v>
      </c>
      <c r="B89" s="1">
        <v>0</v>
      </c>
      <c r="C89" s="1">
        <v>0</v>
      </c>
      <c r="D89" s="2"/>
    </row>
    <row r="90" spans="1:4" ht="12.75" customHeight="1">
      <c r="A90" s="1" t="s">
        <v>181</v>
      </c>
      <c r="B90" s="1">
        <v>0</v>
      </c>
      <c r="C90" s="1">
        <v>0</v>
      </c>
      <c r="D90" s="2"/>
    </row>
    <row r="91" spans="1:4" ht="12.75" customHeight="1">
      <c r="A91" s="1" t="s">
        <v>182</v>
      </c>
      <c r="B91" s="1">
        <v>0</v>
      </c>
      <c r="C91" s="1">
        <v>0</v>
      </c>
      <c r="D91" s="2"/>
    </row>
    <row r="92" spans="1:4" ht="12.75" customHeight="1">
      <c r="A92" s="1" t="s">
        <v>183</v>
      </c>
      <c r="B92" s="1">
        <v>0</v>
      </c>
      <c r="C92" s="1">
        <v>0</v>
      </c>
      <c r="D92" s="2"/>
    </row>
    <row r="93" spans="1:4" ht="12.75" customHeight="1">
      <c r="A93" s="1" t="s">
        <v>184</v>
      </c>
      <c r="B93" s="1">
        <v>0</v>
      </c>
      <c r="C93" s="1">
        <v>0</v>
      </c>
      <c r="D93" s="2"/>
    </row>
    <row r="94" spans="1:4" ht="12.75" customHeight="1">
      <c r="A94" s="1" t="s">
        <v>185</v>
      </c>
      <c r="B94" s="1">
        <v>0</v>
      </c>
      <c r="C94" s="1">
        <v>0</v>
      </c>
      <c r="D94" s="2"/>
    </row>
    <row r="95" spans="1:4" ht="12.75" customHeight="1">
      <c r="A95" s="1" t="s">
        <v>186</v>
      </c>
      <c r="B95" s="1">
        <v>0</v>
      </c>
      <c r="C95" s="1">
        <v>0</v>
      </c>
      <c r="D95" s="2"/>
    </row>
    <row r="96" spans="1:4" ht="12.75" customHeight="1">
      <c r="A96" s="1" t="s">
        <v>187</v>
      </c>
      <c r="B96" s="1">
        <v>0</v>
      </c>
      <c r="C96" s="1">
        <v>0</v>
      </c>
      <c r="D96" s="2"/>
    </row>
    <row r="97" spans="1:4" ht="12.75" customHeight="1">
      <c r="A97" s="1" t="s">
        <v>188</v>
      </c>
      <c r="B97" s="1">
        <v>0</v>
      </c>
      <c r="C97" s="1">
        <v>0</v>
      </c>
      <c r="D97" s="2"/>
    </row>
    <row r="98" spans="1:4" ht="12.75" customHeight="1">
      <c r="A98" s="1" t="s">
        <v>189</v>
      </c>
      <c r="B98" s="1">
        <v>0</v>
      </c>
      <c r="C98" s="1">
        <v>0</v>
      </c>
      <c r="D98" s="2"/>
    </row>
    <row r="99" spans="1:4" ht="12.75" customHeight="1">
      <c r="A99" s="1" t="s">
        <v>190</v>
      </c>
      <c r="B99" s="1">
        <v>22.76</v>
      </c>
      <c r="C99" s="1">
        <v>0</v>
      </c>
      <c r="D99" s="2"/>
    </row>
    <row r="100" spans="1:4" ht="12.75" customHeight="1">
      <c r="A100" s="1" t="s">
        <v>547</v>
      </c>
      <c r="B100" s="1">
        <v>0</v>
      </c>
      <c r="C100" s="1">
        <v>0</v>
      </c>
      <c r="D100" s="2"/>
    </row>
    <row r="101" spans="1:4" ht="12.75" customHeight="1">
      <c r="A101" s="1" t="s">
        <v>191</v>
      </c>
      <c r="B101" s="1">
        <v>0</v>
      </c>
      <c r="C101" s="1">
        <v>0</v>
      </c>
      <c r="D101" s="2"/>
    </row>
    <row r="102" spans="1:4" ht="12.75" customHeight="1">
      <c r="A102" s="1" t="s">
        <v>548</v>
      </c>
      <c r="B102" s="1">
        <v>0</v>
      </c>
      <c r="C102" s="1">
        <v>0</v>
      </c>
      <c r="D102" s="2"/>
    </row>
    <row r="103" spans="1:4" ht="12.75" customHeight="1">
      <c r="A103" s="1" t="s">
        <v>97</v>
      </c>
      <c r="B103" s="1">
        <v>0</v>
      </c>
      <c r="C103" s="1">
        <v>962.68</v>
      </c>
      <c r="D103" s="2"/>
    </row>
    <row r="104" spans="1:4" ht="12.75" customHeight="1">
      <c r="A104" s="1" t="s">
        <v>724</v>
      </c>
      <c r="B104" s="1">
        <v>165.82</v>
      </c>
      <c r="C104" s="1">
        <v>0</v>
      </c>
      <c r="D104" s="2"/>
    </row>
    <row r="105" spans="1:4" ht="12.75" customHeight="1">
      <c r="A105" s="1" t="s">
        <v>192</v>
      </c>
      <c r="B105" s="1">
        <v>0</v>
      </c>
      <c r="C105" s="1">
        <v>0</v>
      </c>
      <c r="D105" s="2"/>
    </row>
    <row r="106" spans="1:4" ht="12.75" customHeight="1">
      <c r="A106" s="1" t="s">
        <v>98</v>
      </c>
      <c r="B106" s="1">
        <v>7407.72</v>
      </c>
      <c r="C106" s="1">
        <v>3066.54</v>
      </c>
      <c r="D106" s="2"/>
    </row>
    <row r="107" spans="1:4" ht="12.75" customHeight="1">
      <c r="A107" s="1" t="s">
        <v>99</v>
      </c>
      <c r="B107" s="1">
        <v>1695.02</v>
      </c>
      <c r="C107" s="1">
        <v>897.68</v>
      </c>
      <c r="D107" s="2"/>
    </row>
    <row r="108" spans="1:4" ht="12.75" customHeight="1">
      <c r="A108" s="1" t="s">
        <v>100</v>
      </c>
      <c r="B108" s="1">
        <v>1782.2</v>
      </c>
      <c r="C108" s="1">
        <v>1579.1</v>
      </c>
      <c r="D108" s="2"/>
    </row>
    <row r="109" spans="1:4" ht="12.75" customHeight="1">
      <c r="A109" s="1" t="s">
        <v>193</v>
      </c>
      <c r="B109" s="1">
        <v>465.73</v>
      </c>
      <c r="C109" s="1">
        <v>0</v>
      </c>
      <c r="D109" s="2"/>
    </row>
    <row r="110" spans="1:4" ht="12.75" customHeight="1">
      <c r="A110" s="1" t="s">
        <v>194</v>
      </c>
      <c r="B110" s="1">
        <v>0</v>
      </c>
      <c r="C110" s="1">
        <v>0</v>
      </c>
      <c r="D110" s="2"/>
    </row>
    <row r="111" spans="1:4" ht="12.75" customHeight="1">
      <c r="A111" s="1" t="s">
        <v>195</v>
      </c>
      <c r="B111" s="1">
        <v>0</v>
      </c>
      <c r="C111" s="1">
        <v>0</v>
      </c>
      <c r="D111" s="2"/>
    </row>
    <row r="112" spans="1:4" ht="12.75" customHeight="1">
      <c r="A112" s="1" t="s">
        <v>196</v>
      </c>
      <c r="B112" s="1">
        <v>0</v>
      </c>
      <c r="C112" s="1">
        <v>282.8</v>
      </c>
      <c r="D112" s="2"/>
    </row>
    <row r="113" spans="1:4" ht="12.75" customHeight="1">
      <c r="A113" s="1" t="s">
        <v>593</v>
      </c>
      <c r="B113" s="1">
        <v>0</v>
      </c>
      <c r="C113" s="1">
        <v>72.58</v>
      </c>
      <c r="D113" s="2"/>
    </row>
    <row r="114" spans="1:4" ht="12.75" customHeight="1">
      <c r="A114" s="1" t="s">
        <v>101</v>
      </c>
      <c r="B114" s="1">
        <v>0</v>
      </c>
      <c r="C114" s="1">
        <v>627.3</v>
      </c>
      <c r="D114" s="2"/>
    </row>
    <row r="115" spans="1:4" ht="12.75" customHeight="1">
      <c r="A115" s="1" t="s">
        <v>197</v>
      </c>
      <c r="B115" s="1">
        <v>73.63</v>
      </c>
      <c r="C115" s="1">
        <v>39.15</v>
      </c>
      <c r="D115" s="2"/>
    </row>
    <row r="116" spans="1:4" ht="12.75" customHeight="1">
      <c r="A116" s="1" t="s">
        <v>198</v>
      </c>
      <c r="B116" s="1">
        <v>0</v>
      </c>
      <c r="C116" s="1">
        <v>0</v>
      </c>
      <c r="D116" s="2"/>
    </row>
    <row r="117" spans="1:4" ht="12.75" customHeight="1">
      <c r="A117" s="1" t="s">
        <v>199</v>
      </c>
      <c r="B117" s="1">
        <v>0</v>
      </c>
      <c r="C117" s="1">
        <v>0</v>
      </c>
      <c r="D117" s="2"/>
    </row>
    <row r="118" spans="1:4" ht="12.75" customHeight="1">
      <c r="A118" s="1" t="s">
        <v>200</v>
      </c>
      <c r="B118" s="1">
        <v>37.71</v>
      </c>
      <c r="C118" s="1">
        <v>0</v>
      </c>
      <c r="D118" s="2"/>
    </row>
    <row r="119" spans="1:4" ht="12.75" customHeight="1">
      <c r="A119" s="1" t="s">
        <v>594</v>
      </c>
      <c r="B119" s="1">
        <v>0</v>
      </c>
      <c r="C119" s="1">
        <v>42.2</v>
      </c>
      <c r="D119" s="2"/>
    </row>
    <row r="120" spans="1:4" ht="12.75" customHeight="1">
      <c r="A120" s="1" t="s">
        <v>725</v>
      </c>
      <c r="B120" s="1">
        <v>53.88</v>
      </c>
      <c r="C120" s="1">
        <v>0</v>
      </c>
      <c r="D120" s="2"/>
    </row>
    <row r="121" spans="1:4" ht="12.75" customHeight="1">
      <c r="A121" s="1" t="s">
        <v>201</v>
      </c>
      <c r="B121" s="1">
        <v>0</v>
      </c>
      <c r="C121" s="1">
        <v>0</v>
      </c>
      <c r="D121" s="2"/>
    </row>
    <row r="122" spans="1:4" ht="12.75" customHeight="1">
      <c r="A122" s="1" t="s">
        <v>202</v>
      </c>
      <c r="B122" s="1">
        <v>0</v>
      </c>
      <c r="C122" s="1">
        <v>0</v>
      </c>
      <c r="D122" s="2"/>
    </row>
    <row r="123" spans="1:4" ht="12.75" customHeight="1">
      <c r="A123" s="1" t="s">
        <v>549</v>
      </c>
      <c r="B123" s="1">
        <v>0</v>
      </c>
      <c r="C123" s="1">
        <v>62.36</v>
      </c>
      <c r="D123" s="2"/>
    </row>
    <row r="124" spans="1:4" ht="12.75" customHeight="1">
      <c r="A124" s="1" t="s">
        <v>203</v>
      </c>
      <c r="B124" s="1">
        <v>0</v>
      </c>
      <c r="C124" s="1">
        <v>0</v>
      </c>
      <c r="D124" s="2"/>
    </row>
    <row r="125" spans="1:4" ht="12.75" customHeight="1">
      <c r="A125" s="1" t="s">
        <v>204</v>
      </c>
      <c r="B125" s="1">
        <v>0</v>
      </c>
      <c r="C125" s="1">
        <v>33.29</v>
      </c>
      <c r="D125" s="2"/>
    </row>
    <row r="126" spans="1:4" ht="12.75" customHeight="1">
      <c r="A126" s="1" t="s">
        <v>550</v>
      </c>
      <c r="B126" s="1">
        <v>273.98</v>
      </c>
      <c r="C126" s="1">
        <v>276.97</v>
      </c>
      <c r="D126" s="2"/>
    </row>
    <row r="127" spans="1:4" ht="12.75" customHeight="1">
      <c r="A127" s="1" t="s">
        <v>205</v>
      </c>
      <c r="B127" s="1">
        <v>53.88</v>
      </c>
      <c r="C127" s="1">
        <v>30.81</v>
      </c>
      <c r="D127" s="2"/>
    </row>
    <row r="128" spans="1:4" ht="12.75" customHeight="1">
      <c r="A128" s="1" t="s">
        <v>206</v>
      </c>
      <c r="B128" s="1">
        <v>218.27</v>
      </c>
      <c r="C128" s="1">
        <v>0</v>
      </c>
      <c r="D128" s="2"/>
    </row>
    <row r="129" spans="1:4" ht="12.75" customHeight="1">
      <c r="A129" s="1" t="s">
        <v>207</v>
      </c>
      <c r="B129" s="1">
        <v>0</v>
      </c>
      <c r="C129" s="1">
        <v>66.6</v>
      </c>
      <c r="D129" s="2"/>
    </row>
    <row r="130" spans="1:4" ht="12.75" customHeight="1">
      <c r="A130" s="1" t="s">
        <v>208</v>
      </c>
      <c r="B130" s="1">
        <v>0</v>
      </c>
      <c r="C130" s="1">
        <v>-5.79</v>
      </c>
      <c r="D130" s="2"/>
    </row>
    <row r="131" spans="1:4" ht="12.75" customHeight="1">
      <c r="A131" s="1" t="s">
        <v>209</v>
      </c>
      <c r="B131" s="1">
        <v>0</v>
      </c>
      <c r="C131" s="1">
        <v>0</v>
      </c>
      <c r="D131" s="2"/>
    </row>
    <row r="132" spans="1:4" ht="12.75" customHeight="1">
      <c r="A132" s="1" t="s">
        <v>210</v>
      </c>
      <c r="B132" s="1">
        <v>0</v>
      </c>
      <c r="C132" s="1">
        <v>0</v>
      </c>
      <c r="D132" s="2"/>
    </row>
    <row r="133" spans="1:4" ht="12.75" customHeight="1">
      <c r="A133" s="1" t="s">
        <v>551</v>
      </c>
      <c r="B133" s="1">
        <v>0</v>
      </c>
      <c r="C133" s="1">
        <v>0</v>
      </c>
      <c r="D133" s="2"/>
    </row>
    <row r="134" spans="1:4" ht="12.75" customHeight="1">
      <c r="A134" s="1" t="s">
        <v>211</v>
      </c>
      <c r="B134" s="1">
        <v>0</v>
      </c>
      <c r="C134" s="1">
        <v>0</v>
      </c>
      <c r="D134" s="2"/>
    </row>
    <row r="135" spans="1:4" ht="12.75" customHeight="1">
      <c r="A135" s="1" t="s">
        <v>212</v>
      </c>
      <c r="B135" s="1">
        <v>0</v>
      </c>
      <c r="C135" s="1">
        <v>0</v>
      </c>
      <c r="D135" s="2"/>
    </row>
    <row r="136" spans="1:4" ht="12.75" customHeight="1">
      <c r="A136" s="1" t="s">
        <v>726</v>
      </c>
      <c r="B136" s="1">
        <v>176.92</v>
      </c>
      <c r="C136" s="1">
        <v>0</v>
      </c>
      <c r="D136" s="2"/>
    </row>
    <row r="137" spans="1:4" ht="12.75" customHeight="1">
      <c r="A137" s="1" t="s">
        <v>213</v>
      </c>
      <c r="B137" s="1">
        <v>0</v>
      </c>
      <c r="C137" s="1">
        <v>0</v>
      </c>
      <c r="D137" s="2"/>
    </row>
    <row r="138" spans="1:4" ht="12.75" customHeight="1">
      <c r="A138" s="1" t="s">
        <v>214</v>
      </c>
      <c r="B138" s="1">
        <v>41.4</v>
      </c>
      <c r="C138" s="1">
        <v>0</v>
      </c>
      <c r="D138" s="2"/>
    </row>
    <row r="139" spans="1:4" ht="12.75" customHeight="1">
      <c r="A139" s="1" t="s">
        <v>215</v>
      </c>
      <c r="B139" s="1">
        <v>0</v>
      </c>
      <c r="C139" s="1">
        <v>0</v>
      </c>
      <c r="D139" s="2"/>
    </row>
    <row r="140" spans="1:4" ht="12.75" customHeight="1">
      <c r="A140" s="1" t="s">
        <v>216</v>
      </c>
      <c r="B140" s="1">
        <v>0</v>
      </c>
      <c r="C140" s="1">
        <v>40.78</v>
      </c>
      <c r="D140" s="2"/>
    </row>
    <row r="141" spans="1:4" ht="12.75" customHeight="1">
      <c r="A141" s="1" t="s">
        <v>217</v>
      </c>
      <c r="B141" s="1">
        <v>0</v>
      </c>
      <c r="C141" s="1">
        <v>229.31</v>
      </c>
      <c r="D141" s="2"/>
    </row>
    <row r="142" spans="1:4" ht="12.75" customHeight="1">
      <c r="A142" s="1" t="s">
        <v>727</v>
      </c>
      <c r="B142" s="1">
        <v>127.36</v>
      </c>
      <c r="C142" s="1">
        <v>0</v>
      </c>
      <c r="D142" s="2"/>
    </row>
    <row r="143" spans="1:4" ht="12.75" customHeight="1">
      <c r="A143" s="1" t="s">
        <v>218</v>
      </c>
      <c r="B143" s="1">
        <v>0</v>
      </c>
      <c r="C143" s="1">
        <v>0</v>
      </c>
      <c r="D143" s="2"/>
    </row>
    <row r="144" spans="1:4" ht="12.75" customHeight="1">
      <c r="A144" s="1" t="s">
        <v>219</v>
      </c>
      <c r="B144" s="1">
        <v>0</v>
      </c>
      <c r="C144" s="1">
        <v>0</v>
      </c>
      <c r="D144" s="2"/>
    </row>
    <row r="145" spans="1:4" ht="12.75" customHeight="1">
      <c r="A145" s="1" t="s">
        <v>220</v>
      </c>
      <c r="B145" s="1">
        <v>163.93</v>
      </c>
      <c r="C145" s="1">
        <v>0</v>
      </c>
      <c r="D145" s="2"/>
    </row>
    <row r="146" spans="1:4" ht="12.75" customHeight="1">
      <c r="A146" s="1" t="s">
        <v>221</v>
      </c>
      <c r="B146" s="1">
        <v>0</v>
      </c>
      <c r="C146" s="1">
        <v>0</v>
      </c>
      <c r="D146" s="2"/>
    </row>
    <row r="147" spans="1:4" ht="12.75" customHeight="1">
      <c r="A147" s="1" t="s">
        <v>222</v>
      </c>
      <c r="B147" s="1">
        <v>0</v>
      </c>
      <c r="C147" s="1">
        <v>-44.29</v>
      </c>
      <c r="D147" s="2"/>
    </row>
    <row r="148" spans="1:4" ht="12.75" customHeight="1">
      <c r="A148" s="1" t="s">
        <v>595</v>
      </c>
      <c r="B148" s="1">
        <v>0</v>
      </c>
      <c r="C148" s="1">
        <v>28.75</v>
      </c>
      <c r="D148" s="2"/>
    </row>
    <row r="149" spans="1:4" ht="12.75" customHeight="1">
      <c r="A149" s="1" t="s">
        <v>223</v>
      </c>
      <c r="B149" s="1">
        <v>0</v>
      </c>
      <c r="C149" s="1">
        <v>-426.94</v>
      </c>
      <c r="D149" s="2"/>
    </row>
    <row r="150" spans="1:4" ht="12.75" customHeight="1">
      <c r="A150" s="1" t="s">
        <v>596</v>
      </c>
      <c r="B150" s="1">
        <v>0</v>
      </c>
      <c r="C150" s="1">
        <v>36.29</v>
      </c>
      <c r="D150" s="2"/>
    </row>
    <row r="151" spans="1:4" ht="12.75" customHeight="1">
      <c r="A151" s="1" t="s">
        <v>224</v>
      </c>
      <c r="B151" s="1">
        <v>0</v>
      </c>
      <c r="C151" s="1">
        <v>0</v>
      </c>
      <c r="D151" s="2"/>
    </row>
    <row r="152" spans="1:4" ht="12.75" customHeight="1">
      <c r="A152" s="1" t="s">
        <v>225</v>
      </c>
      <c r="B152" s="1">
        <v>0</v>
      </c>
      <c r="C152" s="1">
        <v>0</v>
      </c>
      <c r="D152" s="2"/>
    </row>
    <row r="153" spans="1:4" ht="12.75" customHeight="1">
      <c r="A153" s="1" t="s">
        <v>226</v>
      </c>
      <c r="B153" s="1">
        <v>0</v>
      </c>
      <c r="C153" s="1">
        <v>0</v>
      </c>
      <c r="D153" s="2"/>
    </row>
    <row r="154" spans="1:4" ht="12.75" customHeight="1">
      <c r="A154" s="1" t="s">
        <v>227</v>
      </c>
      <c r="B154" s="1">
        <v>0</v>
      </c>
      <c r="C154" s="1">
        <v>0</v>
      </c>
      <c r="D154" s="2"/>
    </row>
    <row r="155" spans="1:4" ht="12.75" customHeight="1">
      <c r="A155" s="1" t="s">
        <v>228</v>
      </c>
      <c r="B155" s="1">
        <v>0</v>
      </c>
      <c r="C155" s="1">
        <v>0</v>
      </c>
      <c r="D155" s="2"/>
    </row>
    <row r="156" spans="1:4" ht="12.75" customHeight="1">
      <c r="A156" s="1" t="s">
        <v>597</v>
      </c>
      <c r="B156" s="1">
        <v>0</v>
      </c>
      <c r="C156" s="1">
        <v>131.45</v>
      </c>
      <c r="D156" s="2"/>
    </row>
    <row r="157" spans="1:4" ht="12.75" customHeight="1">
      <c r="A157" s="1" t="s">
        <v>229</v>
      </c>
      <c r="B157" s="1">
        <v>0</v>
      </c>
      <c r="C157" s="1">
        <v>0</v>
      </c>
      <c r="D157" s="2"/>
    </row>
    <row r="158" spans="1:4" ht="12.75" customHeight="1">
      <c r="A158" s="1" t="s">
        <v>598</v>
      </c>
      <c r="B158" s="1">
        <v>0</v>
      </c>
      <c r="C158" s="1">
        <v>0</v>
      </c>
      <c r="D158" s="2"/>
    </row>
    <row r="159" spans="1:4" ht="12.75" customHeight="1">
      <c r="A159" s="1" t="s">
        <v>728</v>
      </c>
      <c r="B159" s="1">
        <v>37.9</v>
      </c>
      <c r="C159" s="1">
        <v>0</v>
      </c>
      <c r="D159" s="2"/>
    </row>
    <row r="160" spans="1:4" ht="12.75" customHeight="1">
      <c r="A160" s="1" t="s">
        <v>599</v>
      </c>
      <c r="B160" s="1">
        <v>0</v>
      </c>
      <c r="C160" s="1">
        <v>146.65</v>
      </c>
      <c r="D160" s="2"/>
    </row>
    <row r="161" spans="1:4" ht="12.75" customHeight="1">
      <c r="A161" s="1" t="s">
        <v>230</v>
      </c>
      <c r="B161" s="1">
        <v>0</v>
      </c>
      <c r="C161" s="1">
        <v>0</v>
      </c>
      <c r="D161" s="2"/>
    </row>
    <row r="162" spans="1:4" ht="12.75" customHeight="1">
      <c r="A162" s="1" t="s">
        <v>231</v>
      </c>
      <c r="B162" s="1">
        <v>0</v>
      </c>
      <c r="C162" s="1">
        <v>0</v>
      </c>
      <c r="D162" s="2"/>
    </row>
    <row r="163" spans="1:4" ht="12.75" customHeight="1">
      <c r="A163" s="1" t="s">
        <v>600</v>
      </c>
      <c r="B163" s="1">
        <v>0</v>
      </c>
      <c r="C163" s="1">
        <v>2422.73</v>
      </c>
      <c r="D163" s="2"/>
    </row>
    <row r="164" spans="1:4" ht="12.75" customHeight="1">
      <c r="A164" s="1" t="s">
        <v>232</v>
      </c>
      <c r="B164" s="1">
        <v>0</v>
      </c>
      <c r="C164" s="1">
        <v>0</v>
      </c>
      <c r="D164" s="2"/>
    </row>
    <row r="165" spans="1:4" ht="12.75" customHeight="1">
      <c r="A165" s="1" t="s">
        <v>233</v>
      </c>
      <c r="B165" s="1">
        <v>0</v>
      </c>
      <c r="C165" s="1">
        <v>0</v>
      </c>
      <c r="D165" s="2"/>
    </row>
    <row r="166" spans="1:4" ht="12.75" customHeight="1">
      <c r="A166" s="1" t="s">
        <v>234</v>
      </c>
      <c r="B166" s="1">
        <v>0</v>
      </c>
      <c r="C166" s="1">
        <v>0</v>
      </c>
      <c r="D166" s="2"/>
    </row>
    <row r="167" spans="1:4" ht="12.75" customHeight="1">
      <c r="A167" s="1" t="s">
        <v>235</v>
      </c>
      <c r="B167" s="1">
        <v>0</v>
      </c>
      <c r="C167" s="1">
        <v>51.48</v>
      </c>
      <c r="D167" s="2"/>
    </row>
    <row r="168" spans="1:4" ht="12.75" customHeight="1">
      <c r="A168" s="1" t="s">
        <v>601</v>
      </c>
      <c r="B168" s="1">
        <v>0</v>
      </c>
      <c r="C168" s="1">
        <v>156.39</v>
      </c>
      <c r="D168" s="2"/>
    </row>
    <row r="169" spans="1:4" ht="12.75" customHeight="1">
      <c r="A169" s="1" t="s">
        <v>236</v>
      </c>
      <c r="B169" s="1">
        <v>0</v>
      </c>
      <c r="C169" s="1">
        <v>0</v>
      </c>
      <c r="D169" s="2"/>
    </row>
    <row r="170" spans="1:4" ht="12.75" customHeight="1">
      <c r="A170" s="1" t="s">
        <v>237</v>
      </c>
      <c r="B170" s="1">
        <v>0</v>
      </c>
      <c r="C170" s="1">
        <v>0</v>
      </c>
      <c r="D170" s="2"/>
    </row>
    <row r="171" spans="1:4" ht="12.75" customHeight="1">
      <c r="A171" s="1" t="s">
        <v>238</v>
      </c>
      <c r="B171" s="1">
        <v>0</v>
      </c>
      <c r="C171" s="1">
        <v>0</v>
      </c>
      <c r="D171" s="2"/>
    </row>
    <row r="172" spans="1:4" ht="12.75" customHeight="1">
      <c r="A172" s="1" t="s">
        <v>239</v>
      </c>
      <c r="B172" s="1">
        <v>0</v>
      </c>
      <c r="C172" s="1">
        <v>0</v>
      </c>
      <c r="D172" s="2"/>
    </row>
    <row r="173" spans="1:4" ht="12.75" customHeight="1">
      <c r="A173" s="1" t="s">
        <v>602</v>
      </c>
      <c r="B173" s="1">
        <v>0</v>
      </c>
      <c r="C173" s="1">
        <v>33.29</v>
      </c>
      <c r="D173" s="2"/>
    </row>
    <row r="174" spans="1:4" ht="12.75" customHeight="1">
      <c r="A174" s="1" t="s">
        <v>240</v>
      </c>
      <c r="B174" s="1">
        <v>0</v>
      </c>
      <c r="C174" s="1">
        <v>0</v>
      </c>
      <c r="D174" s="2"/>
    </row>
    <row r="175" spans="1:4" ht="12.75" customHeight="1">
      <c r="A175" s="1" t="s">
        <v>241</v>
      </c>
      <c r="B175" s="1">
        <v>0</v>
      </c>
      <c r="C175" s="1">
        <v>0</v>
      </c>
      <c r="D175" s="2"/>
    </row>
    <row r="176" spans="1:4" ht="12.75" customHeight="1">
      <c r="A176" s="1" t="s">
        <v>552</v>
      </c>
      <c r="B176" s="1">
        <v>0</v>
      </c>
      <c r="C176" s="1">
        <v>0</v>
      </c>
      <c r="D176" s="2"/>
    </row>
    <row r="177" spans="1:4" ht="12.75" customHeight="1">
      <c r="A177" s="1" t="s">
        <v>242</v>
      </c>
      <c r="B177" s="1">
        <v>0</v>
      </c>
      <c r="C177" s="1">
        <v>0</v>
      </c>
      <c r="D177" s="2"/>
    </row>
    <row r="178" spans="1:4" ht="12.75" customHeight="1">
      <c r="A178" s="1" t="s">
        <v>553</v>
      </c>
      <c r="B178" s="1">
        <v>0</v>
      </c>
      <c r="C178" s="1">
        <v>0</v>
      </c>
      <c r="D178" s="2"/>
    </row>
    <row r="179" spans="1:4" ht="12.75" customHeight="1">
      <c r="A179" s="1" t="s">
        <v>243</v>
      </c>
      <c r="B179" s="1">
        <v>0</v>
      </c>
      <c r="C179" s="1">
        <v>0</v>
      </c>
      <c r="D179" s="2"/>
    </row>
    <row r="180" spans="1:4" ht="12.75" customHeight="1">
      <c r="A180" s="1" t="s">
        <v>244</v>
      </c>
      <c r="B180" s="1">
        <v>0</v>
      </c>
      <c r="C180" s="1">
        <v>0</v>
      </c>
      <c r="D180" s="2"/>
    </row>
    <row r="181" spans="1:4" ht="12.75" customHeight="1">
      <c r="A181" s="1" t="s">
        <v>245</v>
      </c>
      <c r="B181" s="1">
        <v>0</v>
      </c>
      <c r="C181" s="1">
        <v>0</v>
      </c>
      <c r="D181" s="2"/>
    </row>
    <row r="182" spans="1:4" ht="12.75" customHeight="1">
      <c r="A182" s="1" t="s">
        <v>246</v>
      </c>
      <c r="B182" s="1">
        <v>0</v>
      </c>
      <c r="C182" s="1">
        <v>0</v>
      </c>
      <c r="D182" s="2"/>
    </row>
    <row r="183" spans="1:4" ht="12.75" customHeight="1">
      <c r="A183" s="1" t="s">
        <v>247</v>
      </c>
      <c r="B183" s="1">
        <v>0</v>
      </c>
      <c r="C183" s="1">
        <v>0</v>
      </c>
      <c r="D183" s="2"/>
    </row>
    <row r="184" spans="1:4" ht="12.75" customHeight="1">
      <c r="A184" s="1" t="s">
        <v>554</v>
      </c>
      <c r="B184" s="1">
        <v>405.57</v>
      </c>
      <c r="C184" s="1">
        <v>0</v>
      </c>
      <c r="D184" s="2"/>
    </row>
    <row r="185" spans="1:4" ht="12.75" customHeight="1">
      <c r="A185" s="1" t="s">
        <v>248</v>
      </c>
      <c r="B185" s="1">
        <v>0</v>
      </c>
      <c r="C185" s="1">
        <v>0</v>
      </c>
      <c r="D185" s="2"/>
    </row>
    <row r="186" spans="1:4" ht="12.75" customHeight="1">
      <c r="A186" s="1" t="s">
        <v>249</v>
      </c>
      <c r="B186" s="1">
        <v>0</v>
      </c>
      <c r="C186" s="1">
        <v>0</v>
      </c>
      <c r="D186" s="2"/>
    </row>
    <row r="187" spans="1:4" ht="12.75" customHeight="1">
      <c r="A187" s="1" t="s">
        <v>555</v>
      </c>
      <c r="B187" s="1">
        <v>0</v>
      </c>
      <c r="C187" s="1">
        <v>0</v>
      </c>
      <c r="D187" s="2"/>
    </row>
    <row r="188" spans="1:4" ht="12.75" customHeight="1">
      <c r="A188" s="1" t="s">
        <v>603</v>
      </c>
      <c r="B188" s="1">
        <v>0</v>
      </c>
      <c r="C188" s="1">
        <v>175.07</v>
      </c>
      <c r="D188" s="2"/>
    </row>
    <row r="189" spans="1:4" ht="12.75" customHeight="1">
      <c r="A189" s="1" t="s">
        <v>250</v>
      </c>
      <c r="B189" s="1">
        <v>0</v>
      </c>
      <c r="C189" s="1">
        <v>0</v>
      </c>
      <c r="D189" s="2"/>
    </row>
    <row r="190" spans="1:4" ht="12.75" customHeight="1">
      <c r="A190" s="1" t="s">
        <v>604</v>
      </c>
      <c r="B190" s="1">
        <v>0</v>
      </c>
      <c r="C190" s="1">
        <v>92.44</v>
      </c>
      <c r="D190" s="2"/>
    </row>
    <row r="191" spans="1:4" ht="12.75" customHeight="1">
      <c r="A191" s="1" t="s">
        <v>251</v>
      </c>
      <c r="B191" s="1">
        <v>0</v>
      </c>
      <c r="C191" s="1">
        <v>0</v>
      </c>
      <c r="D191" s="2"/>
    </row>
    <row r="192" spans="1:4" ht="12.75" customHeight="1">
      <c r="A192" s="1" t="s">
        <v>252</v>
      </c>
      <c r="B192" s="1">
        <v>0</v>
      </c>
      <c r="C192" s="1">
        <v>0</v>
      </c>
      <c r="D192" s="2"/>
    </row>
    <row r="193" spans="1:4" ht="12.75" customHeight="1">
      <c r="A193" s="1" t="s">
        <v>253</v>
      </c>
      <c r="B193" s="1">
        <v>0</v>
      </c>
      <c r="C193" s="1">
        <v>0</v>
      </c>
      <c r="D193" s="2"/>
    </row>
    <row r="194" spans="1:4" ht="12.75" customHeight="1">
      <c r="A194" s="1" t="s">
        <v>102</v>
      </c>
      <c r="B194" s="1">
        <v>0</v>
      </c>
      <c r="C194" s="1">
        <v>128.19</v>
      </c>
      <c r="D194" s="2"/>
    </row>
    <row r="195" spans="1:4" ht="12.75" customHeight="1">
      <c r="A195" s="1" t="s">
        <v>254</v>
      </c>
      <c r="B195" s="1">
        <v>0</v>
      </c>
      <c r="C195" s="1">
        <v>0</v>
      </c>
      <c r="D195" s="2"/>
    </row>
    <row r="196" spans="1:4" ht="12.75" customHeight="1">
      <c r="A196" s="1" t="s">
        <v>255</v>
      </c>
      <c r="B196" s="1">
        <v>0</v>
      </c>
      <c r="C196" s="1">
        <v>0</v>
      </c>
      <c r="D196" s="2"/>
    </row>
    <row r="197" spans="1:4" ht="12.75" customHeight="1">
      <c r="A197" s="1" t="s">
        <v>256</v>
      </c>
      <c r="B197" s="1">
        <v>0</v>
      </c>
      <c r="C197" s="1">
        <v>0</v>
      </c>
      <c r="D197" s="2"/>
    </row>
    <row r="198" spans="1:4" ht="12.75" customHeight="1">
      <c r="A198" s="1" t="s">
        <v>257</v>
      </c>
      <c r="B198" s="1">
        <v>0</v>
      </c>
      <c r="C198" s="1">
        <v>65.72</v>
      </c>
      <c r="D198" s="2"/>
    </row>
    <row r="199" spans="1:4" ht="12.75" customHeight="1">
      <c r="A199" s="1" t="s">
        <v>729</v>
      </c>
      <c r="B199" s="1">
        <v>35.98</v>
      </c>
      <c r="C199" s="1">
        <v>0</v>
      </c>
      <c r="D199" s="2"/>
    </row>
    <row r="200" spans="1:4" ht="12.75" customHeight="1">
      <c r="A200" s="1" t="s">
        <v>258</v>
      </c>
      <c r="B200" s="1">
        <v>0</v>
      </c>
      <c r="C200" s="1">
        <v>0</v>
      </c>
      <c r="D200" s="2"/>
    </row>
    <row r="201" spans="1:4" ht="12.75" customHeight="1">
      <c r="A201" s="1" t="s">
        <v>556</v>
      </c>
      <c r="B201" s="1">
        <v>119.77</v>
      </c>
      <c r="C201" s="1">
        <v>0</v>
      </c>
      <c r="D201" s="2"/>
    </row>
    <row r="202" spans="1:4" ht="12.75" customHeight="1">
      <c r="A202" s="1" t="s">
        <v>259</v>
      </c>
      <c r="B202" s="1">
        <v>0</v>
      </c>
      <c r="C202" s="1">
        <v>0</v>
      </c>
      <c r="D202" s="2"/>
    </row>
    <row r="203" spans="1:4" ht="12.75" customHeight="1">
      <c r="A203" s="1" t="s">
        <v>260</v>
      </c>
      <c r="B203" s="1">
        <v>0</v>
      </c>
      <c r="C203" s="1">
        <v>0</v>
      </c>
      <c r="D203" s="2"/>
    </row>
    <row r="204" spans="1:4" ht="12.75" customHeight="1">
      <c r="A204" s="1" t="s">
        <v>261</v>
      </c>
      <c r="B204" s="1">
        <v>0</v>
      </c>
      <c r="C204" s="1">
        <v>0</v>
      </c>
      <c r="D204" s="2"/>
    </row>
    <row r="205" spans="1:4" ht="12.75" customHeight="1">
      <c r="A205" s="1" t="s">
        <v>262</v>
      </c>
      <c r="B205" s="1">
        <v>0</v>
      </c>
      <c r="C205" s="1">
        <v>0</v>
      </c>
      <c r="D205" s="2"/>
    </row>
    <row r="206" spans="1:4" ht="12.75" customHeight="1">
      <c r="A206" s="1" t="s">
        <v>263</v>
      </c>
      <c r="B206" s="1">
        <v>0</v>
      </c>
      <c r="C206" s="1">
        <v>173.44</v>
      </c>
      <c r="D206" s="2"/>
    </row>
    <row r="207" spans="1:4" ht="12.75" customHeight="1">
      <c r="A207" s="1" t="s">
        <v>264</v>
      </c>
      <c r="B207" s="1">
        <v>0</v>
      </c>
      <c r="C207" s="1">
        <v>0</v>
      </c>
      <c r="D207" s="2"/>
    </row>
    <row r="208" spans="1:4" ht="12.75" customHeight="1">
      <c r="A208" s="1" t="s">
        <v>265</v>
      </c>
      <c r="B208" s="1">
        <v>505.03</v>
      </c>
      <c r="C208" s="1">
        <v>553.22</v>
      </c>
      <c r="D208" s="2"/>
    </row>
    <row r="209" spans="1:4" ht="12.75" customHeight="1">
      <c r="A209" s="1" t="s">
        <v>266</v>
      </c>
      <c r="B209" s="1">
        <v>0</v>
      </c>
      <c r="C209" s="1">
        <v>0</v>
      </c>
      <c r="D209" s="2"/>
    </row>
    <row r="210" spans="1:4" ht="12.75" customHeight="1">
      <c r="A210" s="1" t="s">
        <v>267</v>
      </c>
      <c r="B210" s="1">
        <v>0</v>
      </c>
      <c r="C210" s="1">
        <v>0</v>
      </c>
      <c r="D210" s="2"/>
    </row>
    <row r="211" spans="1:4" ht="12.75" customHeight="1">
      <c r="A211" s="1" t="s">
        <v>268</v>
      </c>
      <c r="B211" s="1">
        <v>0</v>
      </c>
      <c r="C211" s="1">
        <v>0</v>
      </c>
      <c r="D211" s="2"/>
    </row>
    <row r="212" spans="1:4" ht="12.75" customHeight="1">
      <c r="A212" s="1" t="s">
        <v>269</v>
      </c>
      <c r="B212" s="1">
        <v>0</v>
      </c>
      <c r="C212" s="1">
        <v>0</v>
      </c>
      <c r="D212" s="2"/>
    </row>
    <row r="213" spans="1:4" ht="12.75" customHeight="1">
      <c r="A213" s="1" t="s">
        <v>270</v>
      </c>
      <c r="B213" s="1">
        <v>0</v>
      </c>
      <c r="C213" s="1">
        <v>0</v>
      </c>
      <c r="D213" s="2"/>
    </row>
    <row r="214" spans="1:4" ht="12.75" customHeight="1">
      <c r="A214" s="1" t="s">
        <v>271</v>
      </c>
      <c r="B214" s="1">
        <v>0</v>
      </c>
      <c r="C214" s="1">
        <v>0</v>
      </c>
      <c r="D214" s="2"/>
    </row>
    <row r="215" spans="1:4" ht="12.75" customHeight="1">
      <c r="A215" s="1" t="s">
        <v>272</v>
      </c>
      <c r="B215" s="1">
        <v>0</v>
      </c>
      <c r="C215" s="1">
        <v>0</v>
      </c>
      <c r="D215" s="2"/>
    </row>
    <row r="216" spans="1:4" ht="12.75" customHeight="1">
      <c r="A216" s="1" t="s">
        <v>273</v>
      </c>
      <c r="B216" s="1">
        <v>0</v>
      </c>
      <c r="C216" s="1">
        <v>0</v>
      </c>
      <c r="D216" s="2"/>
    </row>
    <row r="217" spans="1:4" ht="12.75" customHeight="1">
      <c r="A217" s="1" t="s">
        <v>274</v>
      </c>
      <c r="B217" s="1">
        <v>0</v>
      </c>
      <c r="C217" s="1">
        <v>0</v>
      </c>
      <c r="D217" s="2"/>
    </row>
    <row r="218" spans="1:4" ht="12.75" customHeight="1">
      <c r="A218" s="1" t="s">
        <v>275</v>
      </c>
      <c r="B218" s="1">
        <v>0</v>
      </c>
      <c r="C218" s="1">
        <v>0</v>
      </c>
      <c r="D218" s="2"/>
    </row>
    <row r="219" spans="1:4" ht="12.75" customHeight="1">
      <c r="A219" s="1" t="s">
        <v>276</v>
      </c>
      <c r="B219" s="1">
        <v>0</v>
      </c>
      <c r="C219" s="1">
        <v>0</v>
      </c>
      <c r="D219" s="2"/>
    </row>
    <row r="220" spans="1:4" ht="12.75" customHeight="1">
      <c r="A220" s="1" t="s">
        <v>277</v>
      </c>
      <c r="B220" s="1">
        <v>34.12</v>
      </c>
      <c r="C220" s="1">
        <v>30.03</v>
      </c>
      <c r="D220" s="2"/>
    </row>
    <row r="221" spans="1:4" ht="12.75" customHeight="1">
      <c r="A221" s="1" t="s">
        <v>557</v>
      </c>
      <c r="B221" s="1">
        <v>0</v>
      </c>
      <c r="C221" s="1">
        <v>0</v>
      </c>
      <c r="D221" s="2"/>
    </row>
    <row r="222" spans="1:4" ht="12.75" customHeight="1">
      <c r="A222" s="1" t="s">
        <v>558</v>
      </c>
      <c r="B222" s="1">
        <v>0</v>
      </c>
      <c r="C222" s="1">
        <v>0</v>
      </c>
      <c r="D222" s="2"/>
    </row>
    <row r="223" spans="1:4" ht="12.75" customHeight="1">
      <c r="A223" s="1" t="s">
        <v>278</v>
      </c>
      <c r="B223" s="1">
        <v>0</v>
      </c>
      <c r="C223" s="1">
        <v>0</v>
      </c>
      <c r="D223" s="2"/>
    </row>
    <row r="224" spans="1:4" ht="12.75" customHeight="1">
      <c r="A224" s="1" t="s">
        <v>279</v>
      </c>
      <c r="B224" s="1">
        <v>0</v>
      </c>
      <c r="C224" s="1">
        <v>0</v>
      </c>
      <c r="D224" s="2"/>
    </row>
    <row r="225" spans="1:4" ht="12.75" customHeight="1">
      <c r="A225" s="1" t="s">
        <v>280</v>
      </c>
      <c r="B225" s="1">
        <v>0</v>
      </c>
      <c r="C225" s="1">
        <v>0</v>
      </c>
      <c r="D225" s="2"/>
    </row>
    <row r="226" spans="1:4" ht="12.75" customHeight="1">
      <c r="A226" s="1" t="s">
        <v>281</v>
      </c>
      <c r="B226" s="1">
        <v>46.69</v>
      </c>
      <c r="C226" s="1">
        <v>0</v>
      </c>
      <c r="D226" s="2"/>
    </row>
    <row r="227" spans="1:4" ht="12.75" customHeight="1">
      <c r="A227" s="1" t="s">
        <v>605</v>
      </c>
      <c r="B227" s="1">
        <v>0</v>
      </c>
      <c r="C227" s="1">
        <v>60.9</v>
      </c>
      <c r="D227" s="2"/>
    </row>
    <row r="228" spans="1:4" ht="12.75" customHeight="1">
      <c r="A228" s="1" t="s">
        <v>282</v>
      </c>
      <c r="B228" s="1">
        <v>0</v>
      </c>
      <c r="C228" s="1">
        <v>0</v>
      </c>
      <c r="D228" s="2"/>
    </row>
    <row r="229" spans="1:4" ht="12.75" customHeight="1">
      <c r="A229" s="1" t="s">
        <v>283</v>
      </c>
      <c r="B229" s="1">
        <v>0</v>
      </c>
      <c r="C229" s="1">
        <v>0</v>
      </c>
      <c r="D229" s="2"/>
    </row>
    <row r="230" spans="1:4" ht="12.75" customHeight="1">
      <c r="A230" s="1" t="s">
        <v>284</v>
      </c>
      <c r="B230" s="1">
        <v>0</v>
      </c>
      <c r="C230" s="1">
        <v>0</v>
      </c>
      <c r="D230" s="2"/>
    </row>
    <row r="231" spans="1:4" ht="12.75" customHeight="1">
      <c r="A231" s="1" t="s">
        <v>103</v>
      </c>
      <c r="B231" s="1">
        <v>0</v>
      </c>
      <c r="C231" s="1">
        <v>0</v>
      </c>
      <c r="D231" s="2"/>
    </row>
    <row r="232" spans="1:4" ht="12.75" customHeight="1">
      <c r="A232" s="1" t="s">
        <v>559</v>
      </c>
      <c r="B232" s="1">
        <v>0</v>
      </c>
      <c r="C232" s="1">
        <v>0</v>
      </c>
      <c r="D232" s="2"/>
    </row>
    <row r="233" spans="1:4" ht="12.75" customHeight="1">
      <c r="A233" s="1" t="s">
        <v>285</v>
      </c>
      <c r="B233" s="1">
        <v>0</v>
      </c>
      <c r="C233" s="1">
        <v>0</v>
      </c>
      <c r="D233" s="2"/>
    </row>
    <row r="234" spans="1:4" ht="12.75" customHeight="1">
      <c r="A234" s="1" t="s">
        <v>286</v>
      </c>
      <c r="B234" s="1">
        <v>0</v>
      </c>
      <c r="C234" s="1">
        <v>0</v>
      </c>
      <c r="D234" s="2"/>
    </row>
    <row r="235" spans="1:4" ht="12.75" customHeight="1">
      <c r="A235" s="1" t="s">
        <v>287</v>
      </c>
      <c r="B235" s="1">
        <v>0</v>
      </c>
      <c r="C235" s="1">
        <v>0</v>
      </c>
      <c r="D235" s="2"/>
    </row>
    <row r="236" spans="1:4" ht="12.75" customHeight="1">
      <c r="A236" s="1" t="s">
        <v>288</v>
      </c>
      <c r="B236" s="1">
        <v>0</v>
      </c>
      <c r="C236" s="1">
        <v>0</v>
      </c>
      <c r="D236" s="2"/>
    </row>
    <row r="237" spans="1:4" ht="12.75" customHeight="1">
      <c r="A237" s="1" t="s">
        <v>289</v>
      </c>
      <c r="B237" s="1">
        <v>0</v>
      </c>
      <c r="C237" s="1">
        <v>-0.09</v>
      </c>
      <c r="D237" s="2"/>
    </row>
    <row r="238" spans="1:4" ht="12.75" customHeight="1">
      <c r="A238" s="1" t="s">
        <v>290</v>
      </c>
      <c r="B238" s="1">
        <v>0</v>
      </c>
      <c r="C238" s="1">
        <v>0</v>
      </c>
      <c r="D238" s="2"/>
    </row>
    <row r="239" spans="1:4" ht="12.75" customHeight="1">
      <c r="A239" s="1" t="s">
        <v>291</v>
      </c>
      <c r="B239" s="1">
        <v>0</v>
      </c>
      <c r="C239" s="1">
        <v>0</v>
      </c>
      <c r="D239" s="2"/>
    </row>
    <row r="240" spans="1:4" ht="12.75" customHeight="1">
      <c r="A240" s="1" t="s">
        <v>292</v>
      </c>
      <c r="B240" s="1">
        <v>0</v>
      </c>
      <c r="C240" s="1">
        <v>0</v>
      </c>
      <c r="D240" s="2"/>
    </row>
    <row r="241" spans="1:4" ht="12.75" customHeight="1">
      <c r="A241" s="1" t="s">
        <v>293</v>
      </c>
      <c r="B241" s="1">
        <v>0</v>
      </c>
      <c r="C241" s="1">
        <v>0</v>
      </c>
      <c r="D241" s="2"/>
    </row>
    <row r="242" spans="1:4" ht="12.75" customHeight="1">
      <c r="A242" s="1" t="s">
        <v>294</v>
      </c>
      <c r="B242" s="1">
        <v>0</v>
      </c>
      <c r="C242" s="1">
        <v>0</v>
      </c>
      <c r="D242" s="2"/>
    </row>
    <row r="243" spans="1:4" ht="12.75" customHeight="1">
      <c r="A243" s="1" t="s">
        <v>295</v>
      </c>
      <c r="B243" s="1">
        <v>0</v>
      </c>
      <c r="C243" s="1">
        <v>0</v>
      </c>
      <c r="D243" s="2"/>
    </row>
    <row r="244" spans="1:4" ht="12.75" customHeight="1">
      <c r="A244" s="1" t="s">
        <v>730</v>
      </c>
      <c r="B244" s="1">
        <v>126.4</v>
      </c>
      <c r="C244" s="1">
        <v>0</v>
      </c>
      <c r="D244" s="2"/>
    </row>
    <row r="245" spans="1:4" ht="12.75" customHeight="1">
      <c r="A245" s="1" t="s">
        <v>560</v>
      </c>
      <c r="B245" s="1">
        <v>0</v>
      </c>
      <c r="C245" s="1">
        <v>0</v>
      </c>
      <c r="D245" s="2"/>
    </row>
    <row r="246" spans="1:4" ht="12.75" customHeight="1">
      <c r="A246" s="1" t="s">
        <v>296</v>
      </c>
      <c r="B246" s="1">
        <v>0</v>
      </c>
      <c r="C246" s="1">
        <v>0</v>
      </c>
      <c r="D246" s="2"/>
    </row>
    <row r="247" spans="1:4" ht="12.75" customHeight="1">
      <c r="A247" s="1" t="s">
        <v>297</v>
      </c>
      <c r="B247" s="1">
        <v>0</v>
      </c>
      <c r="C247" s="1">
        <v>0</v>
      </c>
      <c r="D247" s="2"/>
    </row>
    <row r="248" spans="1:4" ht="12.75" customHeight="1">
      <c r="A248" s="1" t="s">
        <v>298</v>
      </c>
      <c r="B248" s="1">
        <v>0</v>
      </c>
      <c r="C248" s="1">
        <v>0</v>
      </c>
      <c r="D248" s="2"/>
    </row>
    <row r="249" spans="1:4" ht="12.75" customHeight="1">
      <c r="A249" s="1" t="s">
        <v>299</v>
      </c>
      <c r="B249" s="1">
        <v>41.4</v>
      </c>
      <c r="C249" s="1">
        <v>0</v>
      </c>
      <c r="D249" s="2"/>
    </row>
    <row r="250" spans="1:4" ht="12.75" customHeight="1">
      <c r="A250" s="1" t="s">
        <v>606</v>
      </c>
      <c r="B250" s="1">
        <v>0</v>
      </c>
      <c r="C250" s="1">
        <v>79.15</v>
      </c>
      <c r="D250" s="2"/>
    </row>
    <row r="251" spans="1:4" ht="12.75" customHeight="1">
      <c r="A251" s="1" t="s">
        <v>300</v>
      </c>
      <c r="B251" s="1">
        <v>0</v>
      </c>
      <c r="C251" s="1">
        <v>0</v>
      </c>
      <c r="D251" s="2"/>
    </row>
    <row r="252" spans="1:4" ht="12.75" customHeight="1">
      <c r="A252" s="1" t="s">
        <v>301</v>
      </c>
      <c r="B252" s="1">
        <v>0</v>
      </c>
      <c r="C252" s="1">
        <v>0</v>
      </c>
      <c r="D252" s="2"/>
    </row>
    <row r="253" spans="1:4" ht="12.75" customHeight="1">
      <c r="A253" s="1" t="s">
        <v>302</v>
      </c>
      <c r="B253" s="1">
        <v>0</v>
      </c>
      <c r="C253" s="1">
        <v>0</v>
      </c>
      <c r="D253" s="2"/>
    </row>
    <row r="254" spans="1:4" ht="12.75" customHeight="1">
      <c r="A254" s="1" t="s">
        <v>303</v>
      </c>
      <c r="B254" s="1">
        <v>0</v>
      </c>
      <c r="C254" s="1">
        <v>0</v>
      </c>
      <c r="D254" s="2"/>
    </row>
    <row r="255" spans="1:4" ht="12.75" customHeight="1">
      <c r="A255" s="1" t="s">
        <v>304</v>
      </c>
      <c r="B255" s="1">
        <v>0</v>
      </c>
      <c r="C255" s="1">
        <v>0</v>
      </c>
      <c r="D255" s="2"/>
    </row>
    <row r="256" spans="1:4" ht="12.75" customHeight="1">
      <c r="A256" s="1" t="s">
        <v>305</v>
      </c>
      <c r="B256" s="1">
        <v>0</v>
      </c>
      <c r="C256" s="1">
        <v>0</v>
      </c>
      <c r="D256" s="2"/>
    </row>
    <row r="257" spans="1:4" ht="12.75" customHeight="1">
      <c r="A257" s="1" t="s">
        <v>306</v>
      </c>
      <c r="B257" s="1">
        <v>0</v>
      </c>
      <c r="C257" s="1">
        <v>0</v>
      </c>
      <c r="D257" s="2"/>
    </row>
    <row r="258" spans="1:4" ht="12.75" customHeight="1">
      <c r="A258" s="1" t="s">
        <v>561</v>
      </c>
      <c r="B258" s="1">
        <v>0</v>
      </c>
      <c r="C258" s="1">
        <v>184.11</v>
      </c>
      <c r="D258" s="2"/>
    </row>
    <row r="259" spans="1:4" ht="12.75" customHeight="1">
      <c r="A259" s="1" t="s">
        <v>307</v>
      </c>
      <c r="B259" s="1">
        <v>0</v>
      </c>
      <c r="C259" s="1">
        <v>0</v>
      </c>
      <c r="D259" s="2"/>
    </row>
    <row r="260" spans="1:4" ht="12.75" customHeight="1">
      <c r="A260" s="1" t="s">
        <v>308</v>
      </c>
      <c r="B260" s="1">
        <v>0</v>
      </c>
      <c r="C260" s="1">
        <v>0</v>
      </c>
      <c r="D260" s="2"/>
    </row>
    <row r="261" spans="1:4" ht="12.75" customHeight="1">
      <c r="A261" s="1" t="s">
        <v>309</v>
      </c>
      <c r="B261" s="1">
        <v>0</v>
      </c>
      <c r="C261" s="1">
        <v>0</v>
      </c>
      <c r="D261" s="2"/>
    </row>
    <row r="262" spans="1:4" ht="12.75" customHeight="1">
      <c r="A262" s="1" t="s">
        <v>310</v>
      </c>
      <c r="B262" s="1">
        <v>0</v>
      </c>
      <c r="C262" s="1">
        <v>-98.44</v>
      </c>
      <c r="D262" s="2"/>
    </row>
    <row r="263" spans="1:4" ht="12.75" customHeight="1">
      <c r="A263" s="1" t="s">
        <v>731</v>
      </c>
      <c r="B263" s="1">
        <v>160.01</v>
      </c>
      <c r="C263" s="1">
        <v>0</v>
      </c>
      <c r="D263" s="2"/>
    </row>
    <row r="264" spans="1:4" ht="12.75" customHeight="1">
      <c r="A264" s="1" t="s">
        <v>562</v>
      </c>
      <c r="B264" s="1">
        <v>0</v>
      </c>
      <c r="C264" s="1">
        <v>0</v>
      </c>
      <c r="D264" s="2"/>
    </row>
    <row r="265" spans="1:4" ht="12.75" customHeight="1">
      <c r="A265" s="1" t="s">
        <v>311</v>
      </c>
      <c r="B265" s="1">
        <v>0</v>
      </c>
      <c r="C265" s="1">
        <v>0</v>
      </c>
      <c r="D265" s="2"/>
    </row>
    <row r="266" spans="1:4" ht="12.75" customHeight="1">
      <c r="A266" s="1" t="s">
        <v>312</v>
      </c>
      <c r="B266" s="1">
        <v>0</v>
      </c>
      <c r="C266" s="1">
        <v>0</v>
      </c>
      <c r="D266" s="2"/>
    </row>
    <row r="267" spans="1:4" ht="12.75" customHeight="1">
      <c r="A267" s="1" t="s">
        <v>313</v>
      </c>
      <c r="B267" s="1">
        <v>0</v>
      </c>
      <c r="C267" s="1">
        <v>181.17</v>
      </c>
      <c r="D267" s="2"/>
    </row>
    <row r="268" spans="1:4" ht="12.75" customHeight="1">
      <c r="A268" s="1" t="s">
        <v>314</v>
      </c>
      <c r="B268" s="1">
        <v>0</v>
      </c>
      <c r="C268" s="1">
        <v>0</v>
      </c>
      <c r="D268" s="2"/>
    </row>
    <row r="269" spans="1:4" ht="12.75" customHeight="1">
      <c r="A269" s="1" t="s">
        <v>315</v>
      </c>
      <c r="B269" s="1">
        <v>0</v>
      </c>
      <c r="C269" s="1">
        <v>0</v>
      </c>
      <c r="D269" s="2"/>
    </row>
    <row r="270" spans="1:4" ht="12.75" customHeight="1">
      <c r="A270" s="1" t="s">
        <v>316</v>
      </c>
      <c r="B270" s="1">
        <v>155.69</v>
      </c>
      <c r="C270" s="1">
        <v>0</v>
      </c>
      <c r="D270" s="2"/>
    </row>
    <row r="271" spans="1:4" ht="12.75" customHeight="1">
      <c r="A271" s="1" t="s">
        <v>607</v>
      </c>
      <c r="B271" s="1">
        <v>0</v>
      </c>
      <c r="C271" s="1">
        <v>236.23</v>
      </c>
      <c r="D271" s="2"/>
    </row>
    <row r="272" spans="1:4" ht="12.75" customHeight="1">
      <c r="A272" s="1" t="s">
        <v>317</v>
      </c>
      <c r="B272" s="1">
        <v>0</v>
      </c>
      <c r="C272" s="1">
        <v>0</v>
      </c>
      <c r="D272" s="2"/>
    </row>
    <row r="273" spans="1:4" ht="12.75" customHeight="1">
      <c r="A273" s="1" t="s">
        <v>318</v>
      </c>
      <c r="B273" s="1">
        <v>0</v>
      </c>
      <c r="C273" s="1">
        <v>0</v>
      </c>
      <c r="D273" s="2"/>
    </row>
    <row r="274" spans="1:4" ht="12.75" customHeight="1">
      <c r="A274" s="1" t="s">
        <v>319</v>
      </c>
      <c r="B274" s="1">
        <v>35.02</v>
      </c>
      <c r="C274" s="1">
        <v>0</v>
      </c>
      <c r="D274" s="2"/>
    </row>
    <row r="275" spans="1:4" ht="12.75" customHeight="1">
      <c r="A275" s="1" t="s">
        <v>608</v>
      </c>
      <c r="B275" s="1">
        <v>0</v>
      </c>
      <c r="C275" s="1">
        <v>28.6</v>
      </c>
      <c r="D275" s="2"/>
    </row>
    <row r="276" spans="1:4" ht="12.75" customHeight="1">
      <c r="A276" s="1" t="s">
        <v>320</v>
      </c>
      <c r="B276" s="1">
        <v>319.65</v>
      </c>
      <c r="C276" s="1">
        <v>0</v>
      </c>
      <c r="D276" s="2"/>
    </row>
    <row r="277" spans="1:4" ht="12.75" customHeight="1">
      <c r="A277" s="1" t="s">
        <v>321</v>
      </c>
      <c r="B277" s="1">
        <v>0</v>
      </c>
      <c r="C277" s="1">
        <v>0</v>
      </c>
      <c r="D277" s="2"/>
    </row>
    <row r="278" spans="1:4" ht="12.75" customHeight="1">
      <c r="A278" s="1" t="s">
        <v>322</v>
      </c>
      <c r="B278" s="1">
        <v>0</v>
      </c>
      <c r="C278" s="1">
        <v>0</v>
      </c>
      <c r="D278" s="2"/>
    </row>
    <row r="279" spans="1:4" ht="12.75" customHeight="1">
      <c r="A279" s="1" t="s">
        <v>609</v>
      </c>
      <c r="B279" s="1">
        <v>0</v>
      </c>
      <c r="C279" s="1">
        <v>453.85</v>
      </c>
      <c r="D279" s="2"/>
    </row>
    <row r="280" spans="1:4" ht="12.75" customHeight="1">
      <c r="A280" s="1" t="s">
        <v>323</v>
      </c>
      <c r="B280" s="1">
        <v>0</v>
      </c>
      <c r="C280" s="1">
        <v>0</v>
      </c>
      <c r="D280" s="2"/>
    </row>
    <row r="281" spans="1:4" ht="12.75" customHeight="1">
      <c r="A281" s="1" t="s">
        <v>324</v>
      </c>
      <c r="B281" s="1">
        <v>0</v>
      </c>
      <c r="C281" s="1">
        <v>0</v>
      </c>
      <c r="D281" s="2"/>
    </row>
    <row r="282" spans="1:4" ht="12.75" customHeight="1">
      <c r="A282" s="1" t="s">
        <v>325</v>
      </c>
      <c r="B282" s="1">
        <v>0</v>
      </c>
      <c r="C282" s="1">
        <v>0</v>
      </c>
      <c r="D282" s="2"/>
    </row>
    <row r="283" spans="1:4" ht="12.75" customHeight="1">
      <c r="A283" s="1" t="s">
        <v>326</v>
      </c>
      <c r="B283" s="1">
        <v>0</v>
      </c>
      <c r="C283" s="1">
        <v>0</v>
      </c>
      <c r="D283" s="2"/>
    </row>
    <row r="284" spans="1:4" ht="12.75" customHeight="1">
      <c r="A284" s="1" t="s">
        <v>327</v>
      </c>
      <c r="B284" s="1">
        <v>0</v>
      </c>
      <c r="C284" s="1">
        <v>0</v>
      </c>
      <c r="D284" s="2"/>
    </row>
    <row r="285" spans="1:4" ht="12.75" customHeight="1">
      <c r="A285" s="1" t="s">
        <v>104</v>
      </c>
      <c r="B285" s="1">
        <v>0</v>
      </c>
      <c r="C285" s="1">
        <v>655.68</v>
      </c>
      <c r="D285" s="2"/>
    </row>
    <row r="286" spans="1:4" ht="12.75" customHeight="1">
      <c r="A286" s="1" t="s">
        <v>328</v>
      </c>
      <c r="B286" s="1">
        <v>0</v>
      </c>
      <c r="C286" s="1">
        <v>0</v>
      </c>
      <c r="D286" s="2"/>
    </row>
    <row r="287" spans="1:4" ht="12.75" customHeight="1">
      <c r="A287" s="1" t="s">
        <v>329</v>
      </c>
      <c r="B287" s="1">
        <v>0</v>
      </c>
      <c r="C287" s="1">
        <v>146.58</v>
      </c>
      <c r="D287" s="2"/>
    </row>
    <row r="288" spans="1:4" ht="12.75" customHeight="1">
      <c r="A288" s="1" t="s">
        <v>330</v>
      </c>
      <c r="B288" s="1">
        <v>0</v>
      </c>
      <c r="C288" s="1">
        <v>0</v>
      </c>
      <c r="D288" s="2"/>
    </row>
    <row r="289" spans="1:4" ht="12.75" customHeight="1">
      <c r="A289" s="1" t="s">
        <v>610</v>
      </c>
      <c r="B289" s="1">
        <v>136.61</v>
      </c>
      <c r="C289" s="1">
        <v>517.12</v>
      </c>
      <c r="D289" s="2"/>
    </row>
    <row r="290" spans="1:4" ht="12.75" customHeight="1">
      <c r="A290" s="1" t="s">
        <v>331</v>
      </c>
      <c r="B290" s="1">
        <v>0</v>
      </c>
      <c r="C290" s="1">
        <v>0</v>
      </c>
      <c r="D290" s="2"/>
    </row>
    <row r="291" spans="1:4" ht="12.75" customHeight="1">
      <c r="A291" s="1" t="s">
        <v>732</v>
      </c>
      <c r="B291" s="1">
        <v>71.83</v>
      </c>
      <c r="C291" s="1">
        <v>0</v>
      </c>
      <c r="D291" s="2"/>
    </row>
    <row r="292" spans="1:4" ht="12.75" customHeight="1">
      <c r="A292" s="1" t="s">
        <v>332</v>
      </c>
      <c r="B292" s="1">
        <v>0</v>
      </c>
      <c r="C292" s="1">
        <v>0</v>
      </c>
      <c r="D292" s="2"/>
    </row>
    <row r="293" spans="1:4" ht="12.75" customHeight="1">
      <c r="A293" s="1" t="s">
        <v>333</v>
      </c>
      <c r="B293" s="1">
        <v>0</v>
      </c>
      <c r="C293" s="1">
        <v>0</v>
      </c>
      <c r="D293" s="2"/>
    </row>
    <row r="294" spans="1:4" ht="12.75" customHeight="1">
      <c r="A294" s="1" t="s">
        <v>334</v>
      </c>
      <c r="B294" s="1">
        <v>0</v>
      </c>
      <c r="C294" s="1">
        <v>0</v>
      </c>
      <c r="D294" s="2"/>
    </row>
    <row r="295" spans="1:4" ht="12.75" customHeight="1">
      <c r="A295" s="1" t="s">
        <v>335</v>
      </c>
      <c r="B295" s="1">
        <v>105.95</v>
      </c>
      <c r="C295" s="1">
        <v>0</v>
      </c>
      <c r="D295" s="2"/>
    </row>
    <row r="296" spans="1:4" ht="12.75" customHeight="1">
      <c r="A296" s="1" t="s">
        <v>336</v>
      </c>
      <c r="B296" s="1">
        <v>0</v>
      </c>
      <c r="C296" s="1">
        <v>0</v>
      </c>
      <c r="D296" s="2"/>
    </row>
    <row r="297" spans="1:4" ht="12.75" customHeight="1">
      <c r="A297" s="1" t="s">
        <v>337</v>
      </c>
      <c r="B297" s="1">
        <v>0</v>
      </c>
      <c r="C297" s="1">
        <v>0</v>
      </c>
      <c r="D297" s="2"/>
    </row>
    <row r="298" spans="1:4" ht="12.75" customHeight="1">
      <c r="A298" s="1" t="s">
        <v>338</v>
      </c>
      <c r="B298" s="1">
        <v>0</v>
      </c>
      <c r="C298" s="1">
        <v>0</v>
      </c>
      <c r="D298" s="2"/>
    </row>
    <row r="299" spans="1:4" ht="12.75" customHeight="1">
      <c r="A299" s="1" t="s">
        <v>339</v>
      </c>
      <c r="B299" s="1">
        <v>0</v>
      </c>
      <c r="C299" s="1">
        <v>0</v>
      </c>
      <c r="D299" s="2"/>
    </row>
    <row r="300" spans="1:4" ht="12.75" customHeight="1">
      <c r="A300" s="1" t="s">
        <v>340</v>
      </c>
      <c r="B300" s="1">
        <v>37.71</v>
      </c>
      <c r="C300" s="1">
        <v>0</v>
      </c>
      <c r="D300" s="2"/>
    </row>
    <row r="301" spans="1:4" ht="12.75" customHeight="1">
      <c r="A301" s="1" t="s">
        <v>341</v>
      </c>
      <c r="B301" s="1">
        <v>0</v>
      </c>
      <c r="C301" s="1">
        <v>0</v>
      </c>
      <c r="D301" s="2"/>
    </row>
    <row r="302" spans="1:4" ht="12.75" customHeight="1">
      <c r="A302" s="1" t="s">
        <v>342</v>
      </c>
      <c r="B302" s="1">
        <v>0</v>
      </c>
      <c r="C302" s="1">
        <v>0</v>
      </c>
      <c r="D302" s="2"/>
    </row>
    <row r="303" spans="1:4" ht="12.75" customHeight="1">
      <c r="A303" s="1" t="s">
        <v>343</v>
      </c>
      <c r="B303" s="1">
        <v>113.23</v>
      </c>
      <c r="C303" s="1">
        <v>0</v>
      </c>
      <c r="D303" s="2"/>
    </row>
    <row r="304" spans="1:4" ht="12.75" customHeight="1">
      <c r="A304" s="1" t="s">
        <v>563</v>
      </c>
      <c r="B304" s="1">
        <v>1451.4</v>
      </c>
      <c r="C304" s="1">
        <v>682.82</v>
      </c>
      <c r="D304" s="2"/>
    </row>
    <row r="305" spans="1:4" ht="12.75" customHeight="1">
      <c r="A305" s="1" t="s">
        <v>344</v>
      </c>
      <c r="B305" s="1">
        <v>0</v>
      </c>
      <c r="C305" s="1">
        <v>0</v>
      </c>
      <c r="D305" s="2"/>
    </row>
    <row r="306" spans="1:4" ht="12.75" customHeight="1">
      <c r="A306" s="1" t="s">
        <v>345</v>
      </c>
      <c r="B306" s="1">
        <v>0</v>
      </c>
      <c r="C306" s="1">
        <v>0</v>
      </c>
      <c r="D306" s="2"/>
    </row>
    <row r="307" spans="1:4" ht="12.75" customHeight="1">
      <c r="A307" s="1" t="s">
        <v>611</v>
      </c>
      <c r="B307" s="1">
        <v>0</v>
      </c>
      <c r="C307" s="1">
        <v>-241.53</v>
      </c>
      <c r="D307" s="2"/>
    </row>
    <row r="308" spans="1:4" ht="12.75" customHeight="1">
      <c r="A308" s="1" t="s">
        <v>346</v>
      </c>
      <c r="B308" s="1">
        <v>0</v>
      </c>
      <c r="C308" s="1">
        <v>0</v>
      </c>
      <c r="D308" s="2"/>
    </row>
    <row r="309" spans="1:4" ht="12.75" customHeight="1">
      <c r="A309" s="1" t="s">
        <v>347</v>
      </c>
      <c r="B309" s="1">
        <v>0</v>
      </c>
      <c r="C309" s="1">
        <v>-208.33</v>
      </c>
      <c r="D309" s="2"/>
    </row>
    <row r="310" spans="1:4" ht="12.75" customHeight="1">
      <c r="A310" s="1" t="s">
        <v>348</v>
      </c>
      <c r="B310" s="1">
        <v>0</v>
      </c>
      <c r="C310" s="1">
        <v>0</v>
      </c>
      <c r="D310" s="2"/>
    </row>
    <row r="311" spans="1:4" ht="12.75" customHeight="1">
      <c r="A311" s="1" t="s">
        <v>564</v>
      </c>
      <c r="B311" s="1">
        <v>0</v>
      </c>
      <c r="C311" s="1">
        <v>0</v>
      </c>
      <c r="D311" s="2"/>
    </row>
    <row r="312" spans="1:4" ht="12.75" customHeight="1">
      <c r="A312" s="1" t="s">
        <v>349</v>
      </c>
      <c r="B312" s="1">
        <v>0</v>
      </c>
      <c r="C312" s="1">
        <v>-166.06</v>
      </c>
      <c r="D312" s="2"/>
    </row>
    <row r="313" spans="1:4" ht="12.75" customHeight="1">
      <c r="A313" s="1" t="s">
        <v>350</v>
      </c>
      <c r="B313" s="1">
        <v>0</v>
      </c>
      <c r="C313" s="1">
        <v>0</v>
      </c>
      <c r="D313" s="2"/>
    </row>
    <row r="314" spans="1:4" ht="12.75" customHeight="1">
      <c r="A314" s="1" t="s">
        <v>351</v>
      </c>
      <c r="B314" s="1">
        <v>0</v>
      </c>
      <c r="C314" s="1">
        <v>0</v>
      </c>
      <c r="D314" s="2"/>
    </row>
    <row r="315" spans="1:4" ht="12.75" customHeight="1">
      <c r="A315" s="1" t="s">
        <v>352</v>
      </c>
      <c r="B315" s="1">
        <v>0</v>
      </c>
      <c r="C315" s="1">
        <v>0</v>
      </c>
      <c r="D315" s="2"/>
    </row>
    <row r="316" spans="1:4" ht="12.75" customHeight="1">
      <c r="A316" s="1" t="s">
        <v>353</v>
      </c>
      <c r="B316" s="1">
        <v>0</v>
      </c>
      <c r="C316" s="1">
        <v>0</v>
      </c>
      <c r="D316" s="2"/>
    </row>
    <row r="317" spans="1:4" ht="12.75" customHeight="1">
      <c r="A317" s="1" t="s">
        <v>612</v>
      </c>
      <c r="B317" s="1">
        <v>0</v>
      </c>
      <c r="C317" s="1">
        <v>99.57</v>
      </c>
      <c r="D317" s="2"/>
    </row>
    <row r="318" spans="1:4" ht="12.75" customHeight="1">
      <c r="A318" s="1" t="s">
        <v>354</v>
      </c>
      <c r="B318" s="1">
        <v>76.9</v>
      </c>
      <c r="C318" s="1">
        <v>689.5</v>
      </c>
      <c r="D318" s="2"/>
    </row>
    <row r="319" spans="1:4" ht="12.75" customHeight="1">
      <c r="A319" s="1" t="s">
        <v>355</v>
      </c>
      <c r="B319" s="1">
        <v>104.16</v>
      </c>
      <c r="C319" s="1">
        <v>0</v>
      </c>
      <c r="D319" s="2"/>
    </row>
    <row r="320" spans="1:4" ht="12.75" customHeight="1">
      <c r="A320" s="1" t="s">
        <v>105</v>
      </c>
      <c r="B320" s="1">
        <f>8274.11-109.15-3000-5000</f>
        <v>164.96000000000095</v>
      </c>
      <c r="C320" s="1">
        <v>0.79</v>
      </c>
      <c r="D320" s="2"/>
    </row>
    <row r="321" spans="1:4" ht="12.75" customHeight="1">
      <c r="A321" s="1" t="s">
        <v>503</v>
      </c>
      <c r="B321" s="1">
        <v>0</v>
      </c>
      <c r="C321" s="1">
        <v>-15.36</v>
      </c>
      <c r="D321" s="2"/>
    </row>
    <row r="322" spans="1:4" ht="12.75" customHeight="1">
      <c r="A322" s="1" t="s">
        <v>356</v>
      </c>
      <c r="B322" s="1">
        <v>0</v>
      </c>
      <c r="C322" s="1">
        <v>0</v>
      </c>
      <c r="D322" s="2"/>
    </row>
    <row r="323" spans="1:4" ht="12.75" customHeight="1">
      <c r="A323" s="1" t="s">
        <v>357</v>
      </c>
      <c r="B323" s="1">
        <v>0</v>
      </c>
      <c r="C323" s="1">
        <v>-547.47</v>
      </c>
      <c r="D323" s="2"/>
    </row>
    <row r="324" spans="1:4" ht="12.75" customHeight="1">
      <c r="A324" s="1" t="s">
        <v>613</v>
      </c>
      <c r="B324" s="1">
        <v>0</v>
      </c>
      <c r="C324" s="1">
        <v>-4161.79</v>
      </c>
      <c r="D324" s="2"/>
    </row>
    <row r="325" spans="1:4" ht="12.75" customHeight="1">
      <c r="A325" s="1" t="s">
        <v>358</v>
      </c>
      <c r="B325" s="1">
        <v>0</v>
      </c>
      <c r="C325" s="1">
        <v>64.1</v>
      </c>
      <c r="D325" s="2"/>
    </row>
    <row r="326" spans="1:4" ht="12.75" customHeight="1">
      <c r="A326" s="1" t="s">
        <v>359</v>
      </c>
      <c r="B326" s="1">
        <v>40.7</v>
      </c>
      <c r="C326" s="1">
        <v>0</v>
      </c>
      <c r="D326" s="2"/>
    </row>
    <row r="327" spans="1:4" ht="12.75" customHeight="1">
      <c r="A327" s="1" t="s">
        <v>360</v>
      </c>
      <c r="B327" s="1">
        <v>84.05</v>
      </c>
      <c r="C327" s="1">
        <v>0</v>
      </c>
      <c r="D327" s="2"/>
    </row>
    <row r="328" spans="1:4" ht="12.75" customHeight="1">
      <c r="A328" s="1" t="s">
        <v>361</v>
      </c>
      <c r="B328" s="1">
        <v>0</v>
      </c>
      <c r="C328" s="1">
        <v>0</v>
      </c>
      <c r="D328" s="2"/>
    </row>
    <row r="329" spans="1:4" ht="12.75" customHeight="1">
      <c r="A329" s="1" t="s">
        <v>362</v>
      </c>
      <c r="B329" s="1">
        <v>0</v>
      </c>
      <c r="C329" s="1">
        <v>0</v>
      </c>
      <c r="D329" s="2"/>
    </row>
    <row r="330" spans="1:4" ht="12.75" customHeight="1">
      <c r="A330" s="1" t="s">
        <v>363</v>
      </c>
      <c r="B330" s="1">
        <v>0</v>
      </c>
      <c r="C330" s="1">
        <v>73.21</v>
      </c>
      <c r="D330" s="2"/>
    </row>
    <row r="331" spans="1:4" ht="12.75" customHeight="1">
      <c r="A331" s="1" t="s">
        <v>614</v>
      </c>
      <c r="B331" s="1">
        <v>0</v>
      </c>
      <c r="C331" s="1">
        <v>21.62</v>
      </c>
      <c r="D331" s="2"/>
    </row>
    <row r="332" spans="1:4" ht="12.75" customHeight="1">
      <c r="A332" s="1" t="s">
        <v>565</v>
      </c>
      <c r="B332" s="1">
        <v>113.23</v>
      </c>
      <c r="C332" s="1">
        <v>0</v>
      </c>
      <c r="D332" s="2"/>
    </row>
    <row r="333" spans="1:4" ht="12.75" customHeight="1">
      <c r="A333" s="1" t="s">
        <v>364</v>
      </c>
      <c r="B333" s="1">
        <v>0</v>
      </c>
      <c r="C333" s="1">
        <v>0</v>
      </c>
      <c r="D333" s="2"/>
    </row>
    <row r="334" spans="1:4" ht="12.75" customHeight="1">
      <c r="A334" s="1" t="s">
        <v>106</v>
      </c>
      <c r="B334" s="1">
        <v>628.07</v>
      </c>
      <c r="C334" s="1">
        <v>299.64</v>
      </c>
      <c r="D334" s="2"/>
    </row>
    <row r="335" spans="1:4" ht="12.75" customHeight="1">
      <c r="A335" s="1" t="s">
        <v>365</v>
      </c>
      <c r="B335" s="1">
        <v>0</v>
      </c>
      <c r="C335" s="1">
        <v>0</v>
      </c>
      <c r="D335" s="2"/>
    </row>
    <row r="336" spans="1:4" ht="12.75" customHeight="1">
      <c r="A336" s="1" t="s">
        <v>366</v>
      </c>
      <c r="B336" s="1">
        <v>443.54</v>
      </c>
      <c r="C336" s="1">
        <v>0</v>
      </c>
      <c r="D336" s="2"/>
    </row>
    <row r="337" spans="1:4" ht="12.75" customHeight="1">
      <c r="A337" s="1" t="s">
        <v>367</v>
      </c>
      <c r="B337" s="1">
        <v>0</v>
      </c>
      <c r="C337" s="1">
        <v>-279.61</v>
      </c>
      <c r="D337" s="2"/>
    </row>
    <row r="338" spans="1:4" ht="12.75" customHeight="1">
      <c r="A338" s="1" t="s">
        <v>368</v>
      </c>
      <c r="B338" s="1">
        <v>0</v>
      </c>
      <c r="C338" s="1">
        <v>0</v>
      </c>
      <c r="D338" s="2"/>
    </row>
    <row r="339" spans="1:4" ht="12.75" customHeight="1">
      <c r="A339" s="1" t="s">
        <v>512</v>
      </c>
      <c r="B339" s="1">
        <v>-24.51</v>
      </c>
      <c r="C339" s="1">
        <v>24.51</v>
      </c>
      <c r="D339" s="2"/>
    </row>
    <row r="340" spans="1:4" ht="12.75" customHeight="1">
      <c r="A340" s="1" t="s">
        <v>369</v>
      </c>
      <c r="B340" s="1">
        <v>0</v>
      </c>
      <c r="C340" s="1">
        <v>0</v>
      </c>
      <c r="D340" s="2"/>
    </row>
    <row r="341" spans="1:4" ht="12.75" customHeight="1">
      <c r="A341" s="1" t="s">
        <v>370</v>
      </c>
      <c r="B341" s="1">
        <v>0</v>
      </c>
      <c r="C341" s="1">
        <v>0</v>
      </c>
      <c r="D341" s="2"/>
    </row>
    <row r="342" spans="1:4" ht="12.75" customHeight="1">
      <c r="A342" s="1" t="s">
        <v>371</v>
      </c>
      <c r="B342" s="1">
        <v>0</v>
      </c>
      <c r="C342" s="1">
        <v>33.29</v>
      </c>
      <c r="D342" s="2"/>
    </row>
    <row r="343" spans="1:4" ht="12.75" customHeight="1">
      <c r="A343" s="1" t="s">
        <v>566</v>
      </c>
      <c r="B343" s="1">
        <v>0</v>
      </c>
      <c r="C343" s="1">
        <v>0</v>
      </c>
      <c r="D343" s="2"/>
    </row>
    <row r="344" spans="1:4" ht="12.75" customHeight="1">
      <c r="A344" s="1" t="s">
        <v>615</v>
      </c>
      <c r="B344" s="1">
        <v>0</v>
      </c>
      <c r="C344" s="1">
        <v>148.12</v>
      </c>
      <c r="D344" s="2"/>
    </row>
    <row r="345" spans="1:4" ht="12.75" customHeight="1">
      <c r="A345" s="1" t="s">
        <v>372</v>
      </c>
      <c r="B345" s="1">
        <v>274.25</v>
      </c>
      <c r="C345" s="1">
        <v>86.34</v>
      </c>
      <c r="D345" s="2"/>
    </row>
    <row r="346" spans="1:4" ht="12.75" customHeight="1">
      <c r="A346" s="1" t="s">
        <v>373</v>
      </c>
      <c r="B346" s="1">
        <v>0</v>
      </c>
      <c r="C346" s="1">
        <v>0</v>
      </c>
      <c r="D346" s="2"/>
    </row>
    <row r="347" spans="1:4" ht="12.75" customHeight="1">
      <c r="A347" s="1" t="s">
        <v>733</v>
      </c>
      <c r="B347" s="1">
        <v>564.22</v>
      </c>
      <c r="C347" s="1">
        <v>0</v>
      </c>
      <c r="D347" s="2"/>
    </row>
    <row r="348" spans="1:4" ht="12.75" customHeight="1">
      <c r="A348" s="1" t="s">
        <v>567</v>
      </c>
      <c r="B348" s="1">
        <v>0</v>
      </c>
      <c r="C348" s="1">
        <v>0</v>
      </c>
      <c r="D348" s="2"/>
    </row>
    <row r="349" spans="1:4" ht="12.75" customHeight="1">
      <c r="A349" s="1" t="s">
        <v>107</v>
      </c>
      <c r="B349" s="1">
        <v>0</v>
      </c>
      <c r="C349" s="1">
        <v>639.88</v>
      </c>
      <c r="D349" s="2"/>
    </row>
    <row r="350" spans="1:4" ht="12.75" customHeight="1">
      <c r="A350" s="1" t="s">
        <v>108</v>
      </c>
      <c r="B350" s="1">
        <v>887.37</v>
      </c>
      <c r="C350" s="1">
        <v>591.52</v>
      </c>
      <c r="D350" s="2"/>
    </row>
    <row r="351" spans="1:4" ht="12.75" customHeight="1">
      <c r="A351" s="1" t="s">
        <v>374</v>
      </c>
      <c r="B351" s="1">
        <v>0</v>
      </c>
      <c r="C351" s="1">
        <v>0</v>
      </c>
      <c r="D351" s="2"/>
    </row>
    <row r="352" spans="1:4" ht="12.75" customHeight="1">
      <c r="A352" s="1" t="s">
        <v>375</v>
      </c>
      <c r="B352" s="1">
        <v>0</v>
      </c>
      <c r="C352" s="1">
        <v>0</v>
      </c>
      <c r="D352" s="2"/>
    </row>
    <row r="353" spans="1:4" ht="12.75" customHeight="1">
      <c r="A353" s="1" t="s">
        <v>376</v>
      </c>
      <c r="B353" s="1">
        <v>0</v>
      </c>
      <c r="C353" s="1">
        <v>0</v>
      </c>
      <c r="D353" s="2"/>
    </row>
    <row r="354" spans="1:4" ht="12.75" customHeight="1">
      <c r="A354" s="1" t="s">
        <v>377</v>
      </c>
      <c r="B354" s="1">
        <v>0</v>
      </c>
      <c r="C354" s="1">
        <v>359.99</v>
      </c>
      <c r="D354" s="2"/>
    </row>
    <row r="355" spans="1:4" ht="12.75" customHeight="1">
      <c r="A355" s="1" t="s">
        <v>378</v>
      </c>
      <c r="B355" s="1">
        <v>379.56</v>
      </c>
      <c r="C355" s="1">
        <v>314.97</v>
      </c>
      <c r="D355" s="2"/>
    </row>
    <row r="356" spans="1:4" ht="12.75" customHeight="1">
      <c r="A356" s="1" t="s">
        <v>379</v>
      </c>
      <c r="B356" s="1">
        <v>0</v>
      </c>
      <c r="C356" s="1">
        <v>0</v>
      </c>
      <c r="D356" s="2"/>
    </row>
    <row r="357" spans="1:4" ht="12.75" customHeight="1">
      <c r="A357" s="1" t="s">
        <v>380</v>
      </c>
      <c r="B357" s="1">
        <v>0</v>
      </c>
      <c r="C357" s="1">
        <v>0</v>
      </c>
      <c r="D357" s="2"/>
    </row>
    <row r="358" spans="1:4" ht="12.75" customHeight="1">
      <c r="A358" s="1" t="s">
        <v>381</v>
      </c>
      <c r="B358" s="1">
        <v>0</v>
      </c>
      <c r="C358" s="1">
        <v>0</v>
      </c>
      <c r="D358" s="2"/>
    </row>
    <row r="359" spans="1:4" ht="12.75" customHeight="1">
      <c r="A359" s="1" t="s">
        <v>382</v>
      </c>
      <c r="B359" s="1">
        <v>0</v>
      </c>
      <c r="C359" s="1">
        <v>128.1</v>
      </c>
      <c r="D359" s="2"/>
    </row>
    <row r="360" spans="1:4" ht="12.75" customHeight="1">
      <c r="A360" s="1" t="s">
        <v>568</v>
      </c>
      <c r="B360" s="1">
        <v>0</v>
      </c>
      <c r="C360" s="1">
        <v>0</v>
      </c>
      <c r="D360" s="2"/>
    </row>
    <row r="361" spans="1:4" ht="12.75" customHeight="1">
      <c r="A361" s="1" t="s">
        <v>383</v>
      </c>
      <c r="B361" s="1">
        <v>0</v>
      </c>
      <c r="C361" s="1">
        <v>0</v>
      </c>
      <c r="D361" s="2"/>
    </row>
    <row r="362" spans="1:4" ht="12.75" customHeight="1">
      <c r="A362" s="1" t="s">
        <v>384</v>
      </c>
      <c r="B362" s="1">
        <v>0</v>
      </c>
      <c r="C362" s="1">
        <v>0</v>
      </c>
      <c r="D362" s="2"/>
    </row>
    <row r="363" spans="1:4" ht="12.75" customHeight="1">
      <c r="A363" s="1" t="s">
        <v>385</v>
      </c>
      <c r="B363" s="1">
        <v>0</v>
      </c>
      <c r="C363" s="1">
        <v>187.56</v>
      </c>
      <c r="D363" s="2"/>
    </row>
    <row r="364" spans="1:4" ht="12.75" customHeight="1">
      <c r="A364" s="1" t="s">
        <v>386</v>
      </c>
      <c r="B364" s="1">
        <v>0</v>
      </c>
      <c r="C364" s="1">
        <v>0</v>
      </c>
      <c r="D364" s="2"/>
    </row>
    <row r="365" spans="1:4" ht="12.75" customHeight="1">
      <c r="A365" s="1" t="s">
        <v>387</v>
      </c>
      <c r="B365" s="1">
        <v>0</v>
      </c>
      <c r="C365" s="1">
        <v>0</v>
      </c>
      <c r="D365" s="2"/>
    </row>
    <row r="366" spans="1:4" ht="12.75" customHeight="1">
      <c r="A366" s="1" t="s">
        <v>388</v>
      </c>
      <c r="B366" s="1">
        <v>0</v>
      </c>
      <c r="C366" s="1">
        <v>0</v>
      </c>
      <c r="D366" s="2"/>
    </row>
    <row r="367" spans="1:4" ht="12.75" customHeight="1">
      <c r="A367" s="1" t="s">
        <v>389</v>
      </c>
      <c r="B367" s="1">
        <v>0</v>
      </c>
      <c r="C367" s="1">
        <v>0</v>
      </c>
      <c r="D367" s="2"/>
    </row>
    <row r="368" spans="1:4" ht="12.75" customHeight="1">
      <c r="A368" s="1" t="s">
        <v>569</v>
      </c>
      <c r="B368" s="1">
        <v>0</v>
      </c>
      <c r="C368" s="1">
        <v>92.17</v>
      </c>
      <c r="D368" s="2"/>
    </row>
    <row r="369" spans="1:4" ht="12.75" customHeight="1">
      <c r="A369" s="1" t="s">
        <v>390</v>
      </c>
      <c r="B369" s="1">
        <v>0</v>
      </c>
      <c r="C369" s="1">
        <v>0</v>
      </c>
      <c r="D369" s="2"/>
    </row>
    <row r="370" spans="1:4" ht="12.75" customHeight="1">
      <c r="A370" s="1" t="s">
        <v>391</v>
      </c>
      <c r="B370" s="1">
        <v>0</v>
      </c>
      <c r="C370" s="1">
        <v>0</v>
      </c>
      <c r="D370" s="2"/>
    </row>
    <row r="371" spans="1:4" ht="12.75" customHeight="1">
      <c r="A371" s="1" t="s">
        <v>392</v>
      </c>
      <c r="B371" s="1">
        <v>0</v>
      </c>
      <c r="C371" s="1">
        <v>0</v>
      </c>
      <c r="D371" s="2"/>
    </row>
    <row r="372" spans="1:4" ht="12.75" customHeight="1">
      <c r="A372" s="1" t="s">
        <v>734</v>
      </c>
      <c r="B372" s="1">
        <v>53.88</v>
      </c>
      <c r="C372" s="1">
        <v>0</v>
      </c>
      <c r="D372" s="2"/>
    </row>
    <row r="373" spans="1:4" ht="12.75" customHeight="1">
      <c r="A373" s="1" t="s">
        <v>393</v>
      </c>
      <c r="B373" s="1">
        <v>0</v>
      </c>
      <c r="C373" s="1">
        <v>0</v>
      </c>
      <c r="D373" s="2"/>
    </row>
    <row r="374" spans="1:4" ht="12.75" customHeight="1">
      <c r="A374" s="1" t="s">
        <v>394</v>
      </c>
      <c r="B374" s="1">
        <v>309.27</v>
      </c>
      <c r="C374" s="1">
        <v>0</v>
      </c>
      <c r="D374" s="2"/>
    </row>
    <row r="375" spans="1:4" ht="12.75" customHeight="1">
      <c r="A375" s="1" t="s">
        <v>395</v>
      </c>
      <c r="B375" s="1">
        <v>312.94</v>
      </c>
      <c r="C375" s="1">
        <v>108.16</v>
      </c>
      <c r="D375" s="2"/>
    </row>
    <row r="376" spans="1:4" ht="12.75" customHeight="1">
      <c r="A376" s="1" t="s">
        <v>396</v>
      </c>
      <c r="B376" s="1">
        <v>0</v>
      </c>
      <c r="C376" s="1">
        <v>69.58</v>
      </c>
      <c r="D376" s="2"/>
    </row>
    <row r="377" spans="1:4" ht="12.75" customHeight="1">
      <c r="A377" s="1" t="s">
        <v>397</v>
      </c>
      <c r="B377" s="1">
        <v>0</v>
      </c>
      <c r="C377" s="1">
        <v>0</v>
      </c>
      <c r="D377" s="2"/>
    </row>
    <row r="378" spans="1:4" ht="12.75" customHeight="1">
      <c r="A378" s="1" t="s">
        <v>398</v>
      </c>
      <c r="B378" s="1">
        <v>0</v>
      </c>
      <c r="C378" s="1">
        <v>0</v>
      </c>
      <c r="D378" s="2"/>
    </row>
    <row r="379" spans="1:4" ht="12.75" customHeight="1">
      <c r="A379" s="1" t="s">
        <v>399</v>
      </c>
      <c r="B379" s="1">
        <v>0</v>
      </c>
      <c r="C379" s="1">
        <v>0</v>
      </c>
      <c r="D379" s="2"/>
    </row>
    <row r="380" spans="1:4" ht="12.75" customHeight="1">
      <c r="A380" s="1" t="s">
        <v>400</v>
      </c>
      <c r="B380" s="1">
        <v>0</v>
      </c>
      <c r="C380" s="1">
        <v>0</v>
      </c>
      <c r="D380" s="2"/>
    </row>
    <row r="381" spans="1:4" ht="12.75" customHeight="1">
      <c r="A381" s="1" t="s">
        <v>401</v>
      </c>
      <c r="B381" s="1">
        <v>0</v>
      </c>
      <c r="C381" s="1">
        <v>0</v>
      </c>
      <c r="D381" s="2"/>
    </row>
    <row r="382" spans="1:4" ht="12.75" customHeight="1">
      <c r="A382" s="1" t="s">
        <v>616</v>
      </c>
      <c r="B382" s="1">
        <v>0</v>
      </c>
      <c r="C382" s="1">
        <v>30.81</v>
      </c>
      <c r="D382" s="2"/>
    </row>
    <row r="383" spans="1:4" ht="12.75" customHeight="1">
      <c r="A383" s="1" t="s">
        <v>402</v>
      </c>
      <c r="B383" s="1">
        <v>0</v>
      </c>
      <c r="C383" s="1">
        <v>0</v>
      </c>
      <c r="D383" s="2"/>
    </row>
    <row r="384" spans="1:4" ht="12.75" customHeight="1">
      <c r="A384" s="1" t="s">
        <v>403</v>
      </c>
      <c r="B384" s="1">
        <v>0</v>
      </c>
      <c r="C384" s="1">
        <v>0</v>
      </c>
      <c r="D384" s="2"/>
    </row>
    <row r="385" spans="1:4" ht="12.75" customHeight="1">
      <c r="A385" s="1" t="s">
        <v>570</v>
      </c>
      <c r="B385" s="1">
        <v>0</v>
      </c>
      <c r="C385" s="1">
        <v>0</v>
      </c>
      <c r="D385" s="2"/>
    </row>
    <row r="386" spans="1:4" ht="12.75" customHeight="1">
      <c r="A386" s="1" t="s">
        <v>404</v>
      </c>
      <c r="B386" s="1">
        <v>0</v>
      </c>
      <c r="C386" s="1">
        <v>0</v>
      </c>
      <c r="D386" s="2"/>
    </row>
    <row r="387" spans="1:4" ht="12.75" customHeight="1">
      <c r="A387" s="1" t="s">
        <v>405</v>
      </c>
      <c r="B387" s="1">
        <v>0</v>
      </c>
      <c r="C387" s="1">
        <v>0</v>
      </c>
      <c r="D387" s="2"/>
    </row>
    <row r="388" spans="1:4" ht="12.75" customHeight="1">
      <c r="A388" s="1" t="s">
        <v>714</v>
      </c>
      <c r="B388" s="1">
        <v>2127.11</v>
      </c>
      <c r="C388" s="1">
        <v>0</v>
      </c>
      <c r="D388" s="2"/>
    </row>
    <row r="389" spans="1:4" ht="12.75" customHeight="1">
      <c r="A389" s="1" t="s">
        <v>406</v>
      </c>
      <c r="B389" s="1">
        <v>0</v>
      </c>
      <c r="C389" s="1">
        <v>0</v>
      </c>
      <c r="D389" s="2"/>
    </row>
    <row r="390" spans="1:4" ht="12.75" customHeight="1">
      <c r="A390" s="1" t="s">
        <v>109</v>
      </c>
      <c r="B390" s="1">
        <v>2682.81</v>
      </c>
      <c r="C390" s="1">
        <v>898.58</v>
      </c>
      <c r="D390" s="2"/>
    </row>
    <row r="391" spans="1:4" ht="12.75" customHeight="1">
      <c r="A391" s="1" t="s">
        <v>407</v>
      </c>
      <c r="B391" s="1">
        <v>0</v>
      </c>
      <c r="C391" s="1">
        <v>0</v>
      </c>
      <c r="D391" s="2"/>
    </row>
    <row r="392" spans="1:4" ht="12.75" customHeight="1">
      <c r="A392" s="1" t="s">
        <v>408</v>
      </c>
      <c r="B392" s="1">
        <v>0</v>
      </c>
      <c r="C392" s="1">
        <v>0</v>
      </c>
      <c r="D392" s="2"/>
    </row>
    <row r="393" spans="1:4" ht="12.75" customHeight="1">
      <c r="A393" s="1" t="s">
        <v>571</v>
      </c>
      <c r="B393" s="1">
        <v>779.61</v>
      </c>
      <c r="C393" s="1">
        <v>285.21</v>
      </c>
      <c r="D393" s="2"/>
    </row>
    <row r="394" spans="1:4" ht="12.75" customHeight="1">
      <c r="A394" s="1" t="s">
        <v>409</v>
      </c>
      <c r="B394" s="1">
        <v>0</v>
      </c>
      <c r="C394" s="1">
        <v>33.29</v>
      </c>
      <c r="D394" s="2"/>
    </row>
    <row r="395" spans="1:4" ht="12.75" customHeight="1">
      <c r="A395" s="1" t="s">
        <v>410</v>
      </c>
      <c r="B395" s="1">
        <v>228.84</v>
      </c>
      <c r="C395" s="1">
        <v>0</v>
      </c>
      <c r="D395" s="2"/>
    </row>
    <row r="396" spans="1:4" ht="12.75" customHeight="1">
      <c r="A396" s="1" t="s">
        <v>502</v>
      </c>
      <c r="B396" s="1">
        <v>0</v>
      </c>
      <c r="C396" s="1">
        <v>38.71</v>
      </c>
      <c r="D396" s="2"/>
    </row>
    <row r="397" spans="1:4" ht="12.75" customHeight="1">
      <c r="A397" s="1" t="s">
        <v>411</v>
      </c>
      <c r="B397" s="1">
        <v>0</v>
      </c>
      <c r="C397" s="1">
        <v>0</v>
      </c>
      <c r="D397" s="2"/>
    </row>
    <row r="398" spans="1:4" ht="12.75" customHeight="1">
      <c r="A398" s="1" t="s">
        <v>412</v>
      </c>
      <c r="B398" s="1">
        <v>0</v>
      </c>
      <c r="C398" s="1">
        <v>0</v>
      </c>
      <c r="D398" s="2"/>
    </row>
    <row r="399" spans="1:4" ht="12.75" customHeight="1">
      <c r="A399" s="1" t="s">
        <v>617</v>
      </c>
      <c r="B399" s="1">
        <v>0</v>
      </c>
      <c r="C399" s="1">
        <v>293.72</v>
      </c>
      <c r="D399" s="2"/>
    </row>
    <row r="400" spans="1:4" ht="12.75" customHeight="1">
      <c r="A400" s="1" t="s">
        <v>413</v>
      </c>
      <c r="B400" s="1">
        <v>0</v>
      </c>
      <c r="C400" s="1">
        <v>0</v>
      </c>
      <c r="D400" s="2"/>
    </row>
    <row r="401" spans="1:4" ht="12.75" customHeight="1">
      <c r="A401" s="1" t="s">
        <v>414</v>
      </c>
      <c r="B401" s="1">
        <v>0</v>
      </c>
      <c r="C401" s="1">
        <v>64.13</v>
      </c>
      <c r="D401" s="2"/>
    </row>
    <row r="402" spans="1:4" ht="12.75" customHeight="1">
      <c r="A402" s="1" t="s">
        <v>572</v>
      </c>
      <c r="B402" s="1">
        <v>0</v>
      </c>
      <c r="C402" s="1">
        <v>0</v>
      </c>
      <c r="D402" s="2"/>
    </row>
    <row r="403" spans="1:4" ht="12.75" customHeight="1">
      <c r="A403" s="1" t="s">
        <v>415</v>
      </c>
      <c r="B403" s="1">
        <v>0</v>
      </c>
      <c r="C403" s="1">
        <v>61.78</v>
      </c>
      <c r="D403" s="2"/>
    </row>
    <row r="404" spans="1:4" ht="12.75" customHeight="1">
      <c r="A404" s="1" t="s">
        <v>416</v>
      </c>
      <c r="B404" s="1">
        <v>0</v>
      </c>
      <c r="C404" s="1">
        <v>0</v>
      </c>
      <c r="D404" s="2"/>
    </row>
    <row r="405" spans="1:4" ht="12.75" customHeight="1">
      <c r="A405" s="1" t="s">
        <v>735</v>
      </c>
      <c r="B405" s="1">
        <v>76.32</v>
      </c>
      <c r="C405" s="1">
        <v>0</v>
      </c>
      <c r="D405" s="2"/>
    </row>
    <row r="406" spans="1:4" ht="12.75" customHeight="1">
      <c r="A406" s="1" t="s">
        <v>417</v>
      </c>
      <c r="B406" s="1">
        <v>0</v>
      </c>
      <c r="C406" s="1">
        <v>0</v>
      </c>
      <c r="D406" s="2"/>
    </row>
    <row r="407" spans="1:4" ht="12.75" customHeight="1">
      <c r="A407" s="1" t="s">
        <v>618</v>
      </c>
      <c r="B407" s="1">
        <v>0</v>
      </c>
      <c r="C407" s="1">
        <v>942.76</v>
      </c>
      <c r="D407" s="2"/>
    </row>
    <row r="408" spans="1:4" ht="12.75" customHeight="1">
      <c r="A408" s="1" t="s">
        <v>418</v>
      </c>
      <c r="B408" s="1">
        <v>0</v>
      </c>
      <c r="C408" s="1">
        <v>0</v>
      </c>
      <c r="D408" s="2"/>
    </row>
    <row r="409" spans="1:4" ht="12.75" customHeight="1">
      <c r="A409" s="1" t="s">
        <v>419</v>
      </c>
      <c r="B409" s="1">
        <v>0</v>
      </c>
      <c r="C409" s="1">
        <v>0</v>
      </c>
      <c r="D409" s="2"/>
    </row>
    <row r="410" spans="1:4" ht="12.75" customHeight="1">
      <c r="A410" s="1" t="s">
        <v>420</v>
      </c>
      <c r="B410" s="1">
        <v>0</v>
      </c>
      <c r="C410" s="1">
        <v>0</v>
      </c>
      <c r="D410" s="2"/>
    </row>
    <row r="411" spans="1:4" ht="12.75" customHeight="1">
      <c r="A411" s="1" t="s">
        <v>421</v>
      </c>
      <c r="B411" s="1">
        <v>0</v>
      </c>
      <c r="C411" s="1">
        <v>0</v>
      </c>
      <c r="D411" s="2"/>
    </row>
    <row r="412" spans="1:4" ht="12.75" customHeight="1">
      <c r="A412" s="1" t="s">
        <v>422</v>
      </c>
      <c r="B412" s="1">
        <v>0</v>
      </c>
      <c r="C412" s="1">
        <v>0</v>
      </c>
      <c r="D412" s="2"/>
    </row>
    <row r="413" spans="1:4" ht="12.75" customHeight="1">
      <c r="A413" s="1" t="s">
        <v>423</v>
      </c>
      <c r="B413" s="1">
        <v>0</v>
      </c>
      <c r="C413" s="1">
        <v>0</v>
      </c>
      <c r="D413" s="2"/>
    </row>
    <row r="414" spans="1:4" ht="12.75" customHeight="1">
      <c r="A414" s="1" t="s">
        <v>424</v>
      </c>
      <c r="B414" s="1">
        <v>0</v>
      </c>
      <c r="C414" s="1">
        <v>0</v>
      </c>
      <c r="D414" s="2"/>
    </row>
    <row r="415" spans="1:4" ht="12.75" customHeight="1">
      <c r="A415" s="1" t="s">
        <v>110</v>
      </c>
      <c r="B415" s="1">
        <v>0</v>
      </c>
      <c r="C415" s="1">
        <v>0</v>
      </c>
      <c r="D415" s="2"/>
    </row>
    <row r="416" spans="1:4" ht="12.75" customHeight="1">
      <c r="A416" s="1" t="s">
        <v>111</v>
      </c>
      <c r="B416" s="1">
        <v>0</v>
      </c>
      <c r="C416" s="1">
        <v>0</v>
      </c>
      <c r="D416" s="2"/>
    </row>
    <row r="417" spans="1:4" ht="12.75" customHeight="1">
      <c r="A417" s="1" t="s">
        <v>425</v>
      </c>
      <c r="B417" s="1">
        <v>0</v>
      </c>
      <c r="C417" s="1">
        <v>0</v>
      </c>
      <c r="D417" s="2"/>
    </row>
    <row r="418" spans="1:4" ht="12.75" customHeight="1">
      <c r="A418" s="1" t="s">
        <v>426</v>
      </c>
      <c r="B418" s="1">
        <v>0</v>
      </c>
      <c r="C418" s="1">
        <v>0</v>
      </c>
      <c r="D418" s="2"/>
    </row>
    <row r="419" spans="1:4" ht="12.75" customHeight="1">
      <c r="A419" s="1" t="s">
        <v>427</v>
      </c>
      <c r="B419" s="1">
        <v>0</v>
      </c>
      <c r="C419" s="1">
        <v>0</v>
      </c>
      <c r="D419" s="2"/>
    </row>
    <row r="420" spans="1:4" ht="12.75" customHeight="1">
      <c r="A420" s="1" t="s">
        <v>112</v>
      </c>
      <c r="B420" s="1">
        <v>842.94</v>
      </c>
      <c r="C420" s="1">
        <v>23.59</v>
      </c>
      <c r="D420" s="2"/>
    </row>
    <row r="421" spans="1:4" ht="12.75" customHeight="1">
      <c r="A421" s="1" t="s">
        <v>573</v>
      </c>
      <c r="B421" s="1">
        <v>0</v>
      </c>
      <c r="C421" s="1">
        <v>0</v>
      </c>
      <c r="D421" s="2"/>
    </row>
    <row r="422" spans="1:4" ht="12.75" customHeight="1">
      <c r="A422" s="1" t="s">
        <v>736</v>
      </c>
      <c r="B422" s="1">
        <v>14.97</v>
      </c>
      <c r="C422" s="1">
        <v>0</v>
      </c>
      <c r="D422" s="2"/>
    </row>
    <row r="423" spans="1:4" ht="12.75" customHeight="1">
      <c r="A423" s="1" t="s">
        <v>737</v>
      </c>
      <c r="B423" s="1">
        <v>47.28</v>
      </c>
      <c r="C423" s="1">
        <v>0</v>
      </c>
      <c r="D423" s="2"/>
    </row>
    <row r="424" spans="1:4" ht="12.75" customHeight="1">
      <c r="A424" s="1" t="s">
        <v>428</v>
      </c>
      <c r="B424" s="1">
        <v>0</v>
      </c>
      <c r="C424" s="1">
        <v>0</v>
      </c>
      <c r="D424" s="2"/>
    </row>
    <row r="425" spans="1:4" ht="12.75" customHeight="1">
      <c r="A425" s="1" t="s">
        <v>574</v>
      </c>
      <c r="B425" s="1">
        <v>0</v>
      </c>
      <c r="C425" s="1">
        <v>0</v>
      </c>
      <c r="D425" s="2"/>
    </row>
    <row r="426" spans="1:4" ht="12.75" customHeight="1">
      <c r="A426" s="1" t="s">
        <v>429</v>
      </c>
      <c r="B426" s="1">
        <v>0</v>
      </c>
      <c r="C426" s="1">
        <v>0</v>
      </c>
      <c r="D426" s="2"/>
    </row>
    <row r="427" spans="1:4" ht="12.75" customHeight="1">
      <c r="A427" s="1" t="s">
        <v>430</v>
      </c>
      <c r="B427" s="1">
        <v>0</v>
      </c>
      <c r="C427" s="1">
        <v>0</v>
      </c>
      <c r="D427" s="2"/>
    </row>
    <row r="428" spans="1:4" ht="12.75" customHeight="1">
      <c r="A428" s="1" t="s">
        <v>619</v>
      </c>
      <c r="B428" s="1">
        <v>0</v>
      </c>
      <c r="C428" s="1">
        <v>58.7</v>
      </c>
      <c r="D428" s="2"/>
    </row>
    <row r="429" spans="1:4" ht="12.75" customHeight="1">
      <c r="A429" s="1" t="s">
        <v>431</v>
      </c>
      <c r="B429" s="1">
        <v>0</v>
      </c>
      <c r="C429" s="1">
        <v>-243.29</v>
      </c>
      <c r="D429" s="2"/>
    </row>
    <row r="430" spans="1:4" ht="12.75" customHeight="1">
      <c r="A430" s="1" t="s">
        <v>432</v>
      </c>
      <c r="B430" s="1">
        <v>0</v>
      </c>
      <c r="C430" s="1">
        <v>0</v>
      </c>
      <c r="D430" s="2"/>
    </row>
    <row r="431" spans="1:4" ht="12.75" customHeight="1">
      <c r="A431" s="1" t="s">
        <v>620</v>
      </c>
      <c r="B431" s="1">
        <v>0</v>
      </c>
      <c r="C431" s="1">
        <v>146.72</v>
      </c>
      <c r="D431" s="2"/>
    </row>
    <row r="432" spans="1:4" ht="12.75" customHeight="1">
      <c r="A432" s="1" t="s">
        <v>433</v>
      </c>
      <c r="B432" s="1">
        <v>0</v>
      </c>
      <c r="C432" s="1">
        <v>0</v>
      </c>
      <c r="D432" s="2"/>
    </row>
    <row r="433" spans="1:4" ht="12.75" customHeight="1">
      <c r="A433" s="1" t="s">
        <v>434</v>
      </c>
      <c r="B433" s="1">
        <v>0</v>
      </c>
      <c r="C433" s="1">
        <v>0</v>
      </c>
      <c r="D433" s="2"/>
    </row>
    <row r="434" spans="1:4" ht="12.75" customHeight="1">
      <c r="A434" s="1" t="s">
        <v>435</v>
      </c>
      <c r="B434" s="1">
        <v>0</v>
      </c>
      <c r="C434" s="1">
        <v>0</v>
      </c>
      <c r="D434" s="2"/>
    </row>
    <row r="435" spans="1:4" ht="12.75" customHeight="1">
      <c r="A435" s="1" t="s">
        <v>436</v>
      </c>
      <c r="B435" s="1">
        <v>88.71</v>
      </c>
      <c r="C435" s="1">
        <v>0</v>
      </c>
      <c r="D435" s="2"/>
    </row>
    <row r="436" spans="1:4" ht="12.75" customHeight="1">
      <c r="A436" s="1" t="s">
        <v>437</v>
      </c>
      <c r="B436" s="1">
        <v>0</v>
      </c>
      <c r="C436" s="1">
        <v>594.96</v>
      </c>
      <c r="D436" s="2"/>
    </row>
    <row r="437" spans="1:4" ht="12.75" customHeight="1">
      <c r="A437" s="1" t="s">
        <v>438</v>
      </c>
      <c r="B437" s="1">
        <v>0</v>
      </c>
      <c r="C437" s="1">
        <v>0</v>
      </c>
      <c r="D437" s="2"/>
    </row>
    <row r="438" spans="1:4" ht="12.75" customHeight="1">
      <c r="A438" s="1" t="s">
        <v>439</v>
      </c>
      <c r="B438" s="1">
        <v>1218.49</v>
      </c>
      <c r="C438" s="1">
        <v>0</v>
      </c>
      <c r="D438" s="2"/>
    </row>
    <row r="439" spans="1:4" ht="12.75" customHeight="1">
      <c r="A439" s="1" t="s">
        <v>113</v>
      </c>
      <c r="B439" s="1">
        <v>1915.57</v>
      </c>
      <c r="C439" s="1">
        <v>1866.98</v>
      </c>
      <c r="D439" s="2"/>
    </row>
    <row r="440" spans="1:4" ht="12.75" customHeight="1">
      <c r="A440" s="1" t="s">
        <v>440</v>
      </c>
      <c r="B440" s="1">
        <v>0</v>
      </c>
      <c r="C440" s="1">
        <v>0</v>
      </c>
      <c r="D440" s="2"/>
    </row>
    <row r="441" spans="1:4" ht="12.75" customHeight="1">
      <c r="A441" s="1" t="s">
        <v>441</v>
      </c>
      <c r="B441" s="1">
        <v>0</v>
      </c>
      <c r="C441" s="1">
        <v>0</v>
      </c>
      <c r="D441" s="2"/>
    </row>
    <row r="442" spans="1:4" ht="12.75" customHeight="1">
      <c r="A442" s="1" t="s">
        <v>442</v>
      </c>
      <c r="B442" s="1">
        <v>0</v>
      </c>
      <c r="C442" s="1">
        <v>0</v>
      </c>
      <c r="D442" s="2"/>
    </row>
    <row r="443" spans="1:4" ht="12.75" customHeight="1">
      <c r="A443" s="1" t="s">
        <v>575</v>
      </c>
      <c r="B443" s="1">
        <v>0</v>
      </c>
      <c r="C443" s="1">
        <v>0</v>
      </c>
      <c r="D443" s="2"/>
    </row>
    <row r="444" spans="1:4" ht="12.75" customHeight="1">
      <c r="A444" s="1" t="s">
        <v>576</v>
      </c>
      <c r="B444" s="1">
        <v>99.88</v>
      </c>
      <c r="C444" s="1">
        <v>0</v>
      </c>
      <c r="D444" s="2"/>
    </row>
    <row r="445" spans="1:4" ht="12.75" customHeight="1">
      <c r="A445" s="1" t="s">
        <v>738</v>
      </c>
      <c r="B445" s="1">
        <v>60.77</v>
      </c>
      <c r="C445" s="1">
        <v>0</v>
      </c>
      <c r="D445" s="2"/>
    </row>
    <row r="446" spans="1:4" ht="12.75" customHeight="1">
      <c r="A446" s="1" t="s">
        <v>443</v>
      </c>
      <c r="B446" s="1">
        <v>0</v>
      </c>
      <c r="C446" s="1">
        <v>0</v>
      </c>
      <c r="D446" s="2"/>
    </row>
    <row r="447" spans="1:4" ht="12.75" customHeight="1">
      <c r="A447" s="1" t="s">
        <v>444</v>
      </c>
      <c r="B447" s="1">
        <v>0</v>
      </c>
      <c r="C447" s="1">
        <v>0</v>
      </c>
      <c r="D447" s="2"/>
    </row>
    <row r="448" spans="1:4" ht="12.75" customHeight="1">
      <c r="A448" s="1" t="s">
        <v>445</v>
      </c>
      <c r="B448" s="1">
        <v>0</v>
      </c>
      <c r="C448" s="1">
        <v>0</v>
      </c>
      <c r="D448" s="2"/>
    </row>
    <row r="449" spans="1:4" ht="12.75" customHeight="1">
      <c r="A449" s="1" t="s">
        <v>446</v>
      </c>
      <c r="B449" s="1">
        <v>0</v>
      </c>
      <c r="C449" s="1">
        <v>0</v>
      </c>
      <c r="D449" s="2"/>
    </row>
    <row r="450" spans="1:4" ht="12.75" customHeight="1">
      <c r="A450" s="1" t="s">
        <v>114</v>
      </c>
      <c r="B450" s="1">
        <v>0</v>
      </c>
      <c r="C450" s="1">
        <v>2289.79</v>
      </c>
      <c r="D450" s="2"/>
    </row>
    <row r="451" spans="1:4" ht="12.75" customHeight="1">
      <c r="A451" s="1" t="s">
        <v>621</v>
      </c>
      <c r="B451" s="1">
        <v>0</v>
      </c>
      <c r="C451" s="1">
        <v>-200.16</v>
      </c>
      <c r="D451" s="2"/>
    </row>
    <row r="452" spans="1:4" ht="12.75" customHeight="1">
      <c r="A452" s="1" t="s">
        <v>447</v>
      </c>
      <c r="B452" s="1">
        <v>0</v>
      </c>
      <c r="C452" s="1">
        <v>0</v>
      </c>
      <c r="D452" s="2"/>
    </row>
    <row r="453" spans="1:4" ht="12.75" customHeight="1">
      <c r="A453" s="1" t="s">
        <v>448</v>
      </c>
      <c r="B453" s="1">
        <v>0</v>
      </c>
      <c r="C453" s="1">
        <v>0</v>
      </c>
      <c r="D453" s="2"/>
    </row>
    <row r="454" spans="1:4" ht="12.75" customHeight="1">
      <c r="A454" s="1" t="s">
        <v>449</v>
      </c>
      <c r="B454" s="1">
        <v>0</v>
      </c>
      <c r="C454" s="1">
        <v>0</v>
      </c>
      <c r="D454" s="2"/>
    </row>
    <row r="455" spans="1:4" ht="12.75" customHeight="1">
      <c r="A455" s="1" t="s">
        <v>450</v>
      </c>
      <c r="B455" s="1">
        <v>0</v>
      </c>
      <c r="C455" s="1">
        <v>0</v>
      </c>
      <c r="D455" s="2"/>
    </row>
    <row r="456" spans="1:4" ht="12.75" customHeight="1">
      <c r="A456" s="4" t="s">
        <v>12</v>
      </c>
      <c r="B456" s="5">
        <f>SUM(B7:B455)</f>
        <v>39098.61</v>
      </c>
      <c r="C456" s="5">
        <f>SUM(C7:C455)</f>
        <v>24843.179999999993</v>
      </c>
      <c r="D456" s="2"/>
    </row>
    <row r="458" spans="1:4" ht="12.75">
      <c r="A458" s="1" t="s">
        <v>105</v>
      </c>
      <c r="B458" s="12">
        <v>8109.15</v>
      </c>
      <c r="D458" t="s">
        <v>740</v>
      </c>
    </row>
    <row r="459" spans="1:4" ht="12.75">
      <c r="A459" s="1" t="s">
        <v>149</v>
      </c>
      <c r="B459" s="12">
        <v>1390</v>
      </c>
      <c r="D459" t="s">
        <v>740</v>
      </c>
    </row>
    <row r="461" spans="1:2" ht="12.75">
      <c r="A461" t="s">
        <v>741</v>
      </c>
      <c r="B461" s="6">
        <v>48597.26</v>
      </c>
    </row>
    <row r="464" ht="12.75">
      <c r="B464" s="6">
        <f>+B456+B458+B459-B461</f>
        <v>0.5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0"/>
  <sheetViews>
    <sheetView zoomScalePageLayoutView="0" workbookViewId="0" topLeftCell="A130">
      <selection activeCell="I138" sqref="I138"/>
    </sheetView>
  </sheetViews>
  <sheetFormatPr defaultColWidth="9.140625" defaultRowHeight="12.75"/>
  <cols>
    <col min="1" max="4" width="23.8515625" style="0" customWidth="1"/>
    <col min="5" max="11" width="14.28125" style="0" customWidth="1"/>
    <col min="12" max="12" width="0.42578125" style="0" customWidth="1"/>
    <col min="13" max="14" width="23.8515625" style="0" customWidth="1"/>
  </cols>
  <sheetData>
    <row r="1" spans="1:14" ht="12.75" customHeight="1">
      <c r="A1" s="327" t="s">
        <v>488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ht="12.75" customHeight="1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12.75" customHeight="1">
      <c r="A3" s="328" t="s">
        <v>742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5" ht="12.75" customHeight="1">
      <c r="A4" s="3" t="s">
        <v>489</v>
      </c>
      <c r="B4" s="3" t="s">
        <v>490</v>
      </c>
      <c r="C4" s="3" t="s">
        <v>491</v>
      </c>
      <c r="D4" s="3" t="s">
        <v>492</v>
      </c>
      <c r="E4" s="3" t="s">
        <v>493</v>
      </c>
      <c r="F4" s="3" t="s">
        <v>625</v>
      </c>
      <c r="G4" s="3" t="s">
        <v>626</v>
      </c>
      <c r="H4" s="3" t="s">
        <v>494</v>
      </c>
      <c r="I4" s="3" t="s">
        <v>495</v>
      </c>
      <c r="J4" s="3" t="s">
        <v>496</v>
      </c>
      <c r="K4" s="3" t="s">
        <v>497</v>
      </c>
      <c r="L4" s="3"/>
      <c r="M4" s="3" t="s">
        <v>498</v>
      </c>
      <c r="N4" s="3" t="s">
        <v>499</v>
      </c>
      <c r="O4" s="2"/>
    </row>
    <row r="5" spans="1:15" ht="12.75" customHeight="1">
      <c r="A5" s="1" t="s">
        <v>743</v>
      </c>
      <c r="B5" s="1" t="s">
        <v>744</v>
      </c>
      <c r="C5" s="1" t="s">
        <v>501</v>
      </c>
      <c r="D5" s="1" t="s">
        <v>512</v>
      </c>
      <c r="E5" s="13">
        <v>42829</v>
      </c>
      <c r="F5" s="1"/>
      <c r="G5" s="1"/>
      <c r="H5" s="13">
        <v>42829</v>
      </c>
      <c r="I5" s="1">
        <v>-29.41</v>
      </c>
      <c r="J5" s="1">
        <v>0</v>
      </c>
      <c r="K5" s="1">
        <v>0</v>
      </c>
      <c r="L5" s="1"/>
      <c r="M5" s="1" t="s">
        <v>500</v>
      </c>
      <c r="N5" s="1" t="s">
        <v>496</v>
      </c>
      <c r="O5" s="2"/>
    </row>
    <row r="6" spans="1:15" ht="12.75" customHeight="1">
      <c r="A6" s="1" t="s">
        <v>745</v>
      </c>
      <c r="B6" s="1" t="s">
        <v>685</v>
      </c>
      <c r="C6" s="1" t="s">
        <v>501</v>
      </c>
      <c r="D6" s="1" t="s">
        <v>586</v>
      </c>
      <c r="E6" s="13">
        <v>42828</v>
      </c>
      <c r="F6" s="1"/>
      <c r="G6" s="1"/>
      <c r="H6" s="13">
        <v>42828</v>
      </c>
      <c r="I6" s="1">
        <v>-45.25</v>
      </c>
      <c r="J6" s="1">
        <v>-45.25</v>
      </c>
      <c r="K6" s="1">
        <v>0</v>
      </c>
      <c r="L6" s="1"/>
      <c r="M6" s="1" t="s">
        <v>500</v>
      </c>
      <c r="N6" s="1" t="s">
        <v>496</v>
      </c>
      <c r="O6" s="2"/>
    </row>
    <row r="7" spans="1:15" ht="12.75" customHeight="1">
      <c r="A7" s="1" t="s">
        <v>746</v>
      </c>
      <c r="B7" s="1" t="s">
        <v>747</v>
      </c>
      <c r="C7" s="1" t="s">
        <v>501</v>
      </c>
      <c r="D7" s="1" t="s">
        <v>395</v>
      </c>
      <c r="E7" s="13">
        <v>42842</v>
      </c>
      <c r="F7" s="1"/>
      <c r="G7" s="1"/>
      <c r="H7" s="13">
        <v>42858</v>
      </c>
      <c r="I7" s="1">
        <v>-35.32</v>
      </c>
      <c r="J7" s="1">
        <v>-35.32</v>
      </c>
      <c r="K7" s="1">
        <v>0</v>
      </c>
      <c r="L7" s="1"/>
      <c r="M7" s="1" t="s">
        <v>500</v>
      </c>
      <c r="N7" s="1" t="s">
        <v>496</v>
      </c>
      <c r="O7" s="2"/>
    </row>
    <row r="8" spans="1:15" ht="12.75" customHeight="1">
      <c r="A8" s="1" t="s">
        <v>748</v>
      </c>
      <c r="B8" s="1" t="s">
        <v>749</v>
      </c>
      <c r="C8" s="1" t="s">
        <v>507</v>
      </c>
      <c r="D8" s="1" t="s">
        <v>378</v>
      </c>
      <c r="E8" s="13">
        <v>42829</v>
      </c>
      <c r="F8" s="13">
        <v>42853</v>
      </c>
      <c r="G8" s="1"/>
      <c r="H8" s="13">
        <v>42853</v>
      </c>
      <c r="I8" s="1">
        <v>35.56</v>
      </c>
      <c r="J8" s="1">
        <v>35.56</v>
      </c>
      <c r="K8" s="1">
        <v>0</v>
      </c>
      <c r="L8" s="1"/>
      <c r="M8" s="1" t="s">
        <v>500</v>
      </c>
      <c r="N8" s="1" t="s">
        <v>496</v>
      </c>
      <c r="O8" s="2"/>
    </row>
    <row r="9" spans="1:15" ht="12.75" customHeight="1">
      <c r="A9" s="1" t="s">
        <v>750</v>
      </c>
      <c r="B9" s="1" t="s">
        <v>751</v>
      </c>
      <c r="C9" s="1" t="s">
        <v>507</v>
      </c>
      <c r="D9" s="1" t="s">
        <v>113</v>
      </c>
      <c r="E9" s="13">
        <v>42829</v>
      </c>
      <c r="F9" s="13">
        <v>42853</v>
      </c>
      <c r="G9" s="1"/>
      <c r="H9" s="13">
        <v>42853</v>
      </c>
      <c r="I9" s="1">
        <v>32.92</v>
      </c>
      <c r="J9" s="1">
        <v>32.92</v>
      </c>
      <c r="K9" s="1">
        <v>0</v>
      </c>
      <c r="L9" s="1"/>
      <c r="M9" s="1" t="s">
        <v>498</v>
      </c>
      <c r="N9" s="1" t="s">
        <v>496</v>
      </c>
      <c r="O9" s="2"/>
    </row>
    <row r="10" spans="1:15" ht="12.75" customHeight="1">
      <c r="A10" s="1" t="s">
        <v>752</v>
      </c>
      <c r="B10" s="1" t="s">
        <v>753</v>
      </c>
      <c r="C10" s="1" t="s">
        <v>507</v>
      </c>
      <c r="D10" s="1" t="s">
        <v>372</v>
      </c>
      <c r="E10" s="13">
        <v>42829</v>
      </c>
      <c r="F10" s="13">
        <v>42844</v>
      </c>
      <c r="G10" s="1"/>
      <c r="H10" s="13">
        <v>42829</v>
      </c>
      <c r="I10" s="1">
        <v>144.38</v>
      </c>
      <c r="J10" s="1">
        <v>144.38</v>
      </c>
      <c r="K10" s="1">
        <v>0</v>
      </c>
      <c r="L10" s="1"/>
      <c r="M10" s="1" t="s">
        <v>500</v>
      </c>
      <c r="N10" s="1" t="s">
        <v>496</v>
      </c>
      <c r="O10" s="2"/>
    </row>
    <row r="11" spans="1:15" ht="12.75" customHeight="1">
      <c r="A11" s="1" t="s">
        <v>754</v>
      </c>
      <c r="B11" s="1" t="s">
        <v>755</v>
      </c>
      <c r="C11" s="1" t="s">
        <v>507</v>
      </c>
      <c r="D11" s="1" t="s">
        <v>556</v>
      </c>
      <c r="E11" s="13">
        <v>42829</v>
      </c>
      <c r="F11" s="13">
        <v>42844</v>
      </c>
      <c r="G11" s="1"/>
      <c r="H11" s="13">
        <v>42830</v>
      </c>
      <c r="I11" s="1">
        <v>143.73</v>
      </c>
      <c r="J11" s="1">
        <v>143.73</v>
      </c>
      <c r="K11" s="1">
        <v>0</v>
      </c>
      <c r="L11" s="1"/>
      <c r="M11" s="1" t="s">
        <v>500</v>
      </c>
      <c r="N11" s="1" t="s">
        <v>496</v>
      </c>
      <c r="O11" s="2"/>
    </row>
    <row r="12" spans="1:15" ht="12.75" customHeight="1">
      <c r="A12" s="1" t="s">
        <v>756</v>
      </c>
      <c r="B12" s="1" t="s">
        <v>757</v>
      </c>
      <c r="C12" s="1" t="s">
        <v>507</v>
      </c>
      <c r="D12" s="1" t="s">
        <v>136</v>
      </c>
      <c r="E12" s="13">
        <v>42829</v>
      </c>
      <c r="F12" s="13">
        <v>42844</v>
      </c>
      <c r="G12" s="1"/>
      <c r="H12" s="13">
        <v>42830</v>
      </c>
      <c r="I12" s="1">
        <v>20.74</v>
      </c>
      <c r="J12" s="1">
        <v>20.74</v>
      </c>
      <c r="K12" s="1">
        <v>0</v>
      </c>
      <c r="L12" s="1"/>
      <c r="M12" s="1" t="s">
        <v>500</v>
      </c>
      <c r="N12" s="1" t="s">
        <v>496</v>
      </c>
      <c r="O12" s="2"/>
    </row>
    <row r="13" spans="1:15" ht="12.75" customHeight="1">
      <c r="A13" s="1" t="s">
        <v>758</v>
      </c>
      <c r="B13" s="1" t="s">
        <v>759</v>
      </c>
      <c r="C13" s="1" t="s">
        <v>507</v>
      </c>
      <c r="D13" s="1" t="s">
        <v>729</v>
      </c>
      <c r="E13" s="13">
        <v>42829</v>
      </c>
      <c r="F13" s="13">
        <v>42844</v>
      </c>
      <c r="G13" s="1"/>
      <c r="H13" s="13">
        <v>42830</v>
      </c>
      <c r="I13" s="1">
        <v>43.17</v>
      </c>
      <c r="J13" s="1">
        <v>43.17</v>
      </c>
      <c r="K13" s="1">
        <v>0</v>
      </c>
      <c r="L13" s="1"/>
      <c r="M13" s="1" t="s">
        <v>500</v>
      </c>
      <c r="N13" s="1" t="s">
        <v>496</v>
      </c>
      <c r="O13" s="2"/>
    </row>
    <row r="14" spans="1:15" ht="12.75" customHeight="1">
      <c r="A14" s="1" t="s">
        <v>760</v>
      </c>
      <c r="B14" s="1" t="s">
        <v>761</v>
      </c>
      <c r="C14" s="1" t="s">
        <v>507</v>
      </c>
      <c r="D14" s="1" t="s">
        <v>108</v>
      </c>
      <c r="E14" s="13">
        <v>42829</v>
      </c>
      <c r="F14" s="13">
        <v>42853</v>
      </c>
      <c r="G14" s="1"/>
      <c r="H14" s="13">
        <v>42853</v>
      </c>
      <c r="I14" s="1">
        <v>111.4</v>
      </c>
      <c r="J14" s="1">
        <v>111.4</v>
      </c>
      <c r="K14" s="1">
        <v>0</v>
      </c>
      <c r="L14" s="1"/>
      <c r="M14" s="1" t="s">
        <v>500</v>
      </c>
      <c r="N14" s="1" t="s">
        <v>496</v>
      </c>
      <c r="O14" s="2"/>
    </row>
    <row r="15" spans="1:15" ht="12.75" customHeight="1">
      <c r="A15" s="1" t="s">
        <v>762</v>
      </c>
      <c r="B15" s="1" t="s">
        <v>763</v>
      </c>
      <c r="C15" s="1" t="s">
        <v>507</v>
      </c>
      <c r="D15" s="1" t="s">
        <v>319</v>
      </c>
      <c r="E15" s="13">
        <v>42829</v>
      </c>
      <c r="F15" s="13">
        <v>42844</v>
      </c>
      <c r="G15" s="1"/>
      <c r="H15" s="13">
        <v>42830</v>
      </c>
      <c r="I15" s="1">
        <v>42.02</v>
      </c>
      <c r="J15" s="1">
        <v>42.02</v>
      </c>
      <c r="K15" s="1">
        <v>0</v>
      </c>
      <c r="L15" s="1"/>
      <c r="M15" s="1" t="s">
        <v>500</v>
      </c>
      <c r="N15" s="1" t="s">
        <v>496</v>
      </c>
      <c r="O15" s="2"/>
    </row>
    <row r="16" spans="1:15" ht="12.75" customHeight="1">
      <c r="A16" s="1" t="s">
        <v>764</v>
      </c>
      <c r="B16" s="1" t="s">
        <v>765</v>
      </c>
      <c r="C16" s="1" t="s">
        <v>507</v>
      </c>
      <c r="D16" s="1" t="s">
        <v>378</v>
      </c>
      <c r="E16" s="13">
        <v>42829</v>
      </c>
      <c r="F16" s="13">
        <v>42853</v>
      </c>
      <c r="G16" s="1"/>
      <c r="H16" s="13">
        <v>42853</v>
      </c>
      <c r="I16" s="1">
        <v>92.66</v>
      </c>
      <c r="J16" s="1">
        <v>92.66</v>
      </c>
      <c r="K16" s="1">
        <v>0</v>
      </c>
      <c r="L16" s="1"/>
      <c r="M16" s="1" t="s">
        <v>500</v>
      </c>
      <c r="N16" s="1" t="s">
        <v>496</v>
      </c>
      <c r="O16" s="2"/>
    </row>
    <row r="17" spans="1:15" ht="12.75" customHeight="1">
      <c r="A17" s="1" t="s">
        <v>766</v>
      </c>
      <c r="B17" s="1" t="s">
        <v>767</v>
      </c>
      <c r="C17" s="1" t="s">
        <v>507</v>
      </c>
      <c r="D17" s="1" t="s">
        <v>105</v>
      </c>
      <c r="E17" s="13">
        <v>42829</v>
      </c>
      <c r="F17" s="13">
        <v>42858</v>
      </c>
      <c r="G17" s="1"/>
      <c r="H17" s="13">
        <v>42863</v>
      </c>
      <c r="I17" s="1">
        <v>109.35</v>
      </c>
      <c r="J17" s="1">
        <v>109.35</v>
      </c>
      <c r="K17" s="1">
        <v>0</v>
      </c>
      <c r="L17" s="1"/>
      <c r="M17" s="1" t="s">
        <v>498</v>
      </c>
      <c r="N17" s="1" t="s">
        <v>496</v>
      </c>
      <c r="O17" s="2"/>
    </row>
    <row r="18" spans="1:15" ht="12.75" customHeight="1">
      <c r="A18" s="1" t="s">
        <v>768</v>
      </c>
      <c r="B18" s="1" t="s">
        <v>769</v>
      </c>
      <c r="C18" s="1" t="s">
        <v>507</v>
      </c>
      <c r="D18" s="1" t="s">
        <v>299</v>
      </c>
      <c r="E18" s="13">
        <v>42829</v>
      </c>
      <c r="F18" s="13">
        <v>42844</v>
      </c>
      <c r="G18" s="1"/>
      <c r="H18" s="13">
        <v>42830</v>
      </c>
      <c r="I18" s="1">
        <v>49.68</v>
      </c>
      <c r="J18" s="1">
        <v>49.68</v>
      </c>
      <c r="K18" s="1">
        <v>0</v>
      </c>
      <c r="L18" s="1"/>
      <c r="M18" s="1" t="s">
        <v>500</v>
      </c>
      <c r="N18" s="1" t="s">
        <v>496</v>
      </c>
      <c r="O18" s="2"/>
    </row>
    <row r="19" spans="1:15" ht="12.75" customHeight="1">
      <c r="A19" s="1" t="s">
        <v>770</v>
      </c>
      <c r="B19" s="1" t="s">
        <v>771</v>
      </c>
      <c r="C19" s="1" t="s">
        <v>507</v>
      </c>
      <c r="D19" s="1" t="s">
        <v>354</v>
      </c>
      <c r="E19" s="13">
        <v>42829</v>
      </c>
      <c r="F19" s="13">
        <v>42843</v>
      </c>
      <c r="G19" s="1"/>
      <c r="H19" s="13">
        <v>42850</v>
      </c>
      <c r="I19" s="1">
        <v>42.51</v>
      </c>
      <c r="J19" s="1">
        <v>42.51</v>
      </c>
      <c r="K19" s="1">
        <v>0</v>
      </c>
      <c r="L19" s="1"/>
      <c r="M19" s="1" t="s">
        <v>500</v>
      </c>
      <c r="N19" s="1" t="s">
        <v>496</v>
      </c>
      <c r="O19" s="2"/>
    </row>
    <row r="20" spans="1:15" ht="12.75" customHeight="1">
      <c r="A20" s="1" t="s">
        <v>772</v>
      </c>
      <c r="B20" s="1" t="s">
        <v>773</v>
      </c>
      <c r="C20" s="1" t="s">
        <v>507</v>
      </c>
      <c r="D20" s="1" t="s">
        <v>576</v>
      </c>
      <c r="E20" s="13">
        <v>42829</v>
      </c>
      <c r="F20" s="13">
        <v>42844</v>
      </c>
      <c r="G20" s="1"/>
      <c r="H20" s="13">
        <v>42831</v>
      </c>
      <c r="I20" s="1">
        <v>36.51</v>
      </c>
      <c r="J20" s="1">
        <v>36.51</v>
      </c>
      <c r="K20" s="1">
        <v>0</v>
      </c>
      <c r="L20" s="1"/>
      <c r="M20" s="1" t="s">
        <v>500</v>
      </c>
      <c r="N20" s="1" t="s">
        <v>496</v>
      </c>
      <c r="O20" s="2"/>
    </row>
    <row r="21" spans="1:15" ht="12.75" customHeight="1">
      <c r="A21" s="1" t="s">
        <v>774</v>
      </c>
      <c r="B21" s="1" t="s">
        <v>775</v>
      </c>
      <c r="C21" s="1" t="s">
        <v>507</v>
      </c>
      <c r="D21" s="1" t="s">
        <v>112</v>
      </c>
      <c r="E21" s="13">
        <v>42829</v>
      </c>
      <c r="F21" s="13">
        <v>42853</v>
      </c>
      <c r="G21" s="1"/>
      <c r="H21" s="13">
        <v>42853</v>
      </c>
      <c r="I21" s="1">
        <v>689.43</v>
      </c>
      <c r="J21" s="1">
        <v>689.43</v>
      </c>
      <c r="K21" s="1">
        <v>0</v>
      </c>
      <c r="L21" s="1"/>
      <c r="M21" s="1" t="s">
        <v>498</v>
      </c>
      <c r="N21" s="1" t="s">
        <v>496</v>
      </c>
      <c r="O21" s="2"/>
    </row>
    <row r="22" spans="1:15" ht="12.75" customHeight="1">
      <c r="A22" s="1" t="s">
        <v>776</v>
      </c>
      <c r="B22" s="1" t="s">
        <v>777</v>
      </c>
      <c r="C22" s="1" t="s">
        <v>507</v>
      </c>
      <c r="D22" s="1" t="s">
        <v>563</v>
      </c>
      <c r="E22" s="13">
        <v>42831</v>
      </c>
      <c r="F22" s="13">
        <v>42846</v>
      </c>
      <c r="G22" s="1"/>
      <c r="H22" s="13">
        <v>42832</v>
      </c>
      <c r="I22" s="1">
        <v>244.31</v>
      </c>
      <c r="J22" s="1">
        <v>244.31</v>
      </c>
      <c r="K22" s="1">
        <v>0</v>
      </c>
      <c r="L22" s="1"/>
      <c r="M22" s="1" t="s">
        <v>500</v>
      </c>
      <c r="N22" s="1" t="s">
        <v>496</v>
      </c>
      <c r="O22" s="2"/>
    </row>
    <row r="23" spans="1:15" ht="12.75" customHeight="1">
      <c r="A23" s="1" t="s">
        <v>778</v>
      </c>
      <c r="B23" s="1" t="s">
        <v>779</v>
      </c>
      <c r="C23" s="1" t="s">
        <v>507</v>
      </c>
      <c r="D23" s="1" t="s">
        <v>724</v>
      </c>
      <c r="E23" s="13">
        <v>42831</v>
      </c>
      <c r="F23" s="13">
        <v>42846</v>
      </c>
      <c r="G23" s="1"/>
      <c r="H23" s="13">
        <v>42832</v>
      </c>
      <c r="I23" s="1">
        <v>100.92</v>
      </c>
      <c r="J23" s="1">
        <v>100.92</v>
      </c>
      <c r="K23" s="1">
        <v>0</v>
      </c>
      <c r="L23" s="1"/>
      <c r="M23" s="1" t="s">
        <v>500</v>
      </c>
      <c r="N23" s="1" t="s">
        <v>496</v>
      </c>
      <c r="O23" s="2"/>
    </row>
    <row r="24" spans="1:15" ht="12.75" customHeight="1">
      <c r="A24" s="1" t="s">
        <v>780</v>
      </c>
      <c r="B24" s="1" t="s">
        <v>781</v>
      </c>
      <c r="C24" s="1" t="s">
        <v>507</v>
      </c>
      <c r="D24" s="1" t="s">
        <v>144</v>
      </c>
      <c r="E24" s="13">
        <v>42831</v>
      </c>
      <c r="F24" s="13">
        <v>42846</v>
      </c>
      <c r="G24" s="1"/>
      <c r="H24" s="13">
        <v>42832</v>
      </c>
      <c r="I24" s="1">
        <v>183.4</v>
      </c>
      <c r="J24" s="1">
        <v>183.4</v>
      </c>
      <c r="K24" s="1">
        <v>0</v>
      </c>
      <c r="L24" s="1"/>
      <c r="M24" s="1" t="s">
        <v>500</v>
      </c>
      <c r="N24" s="1" t="s">
        <v>496</v>
      </c>
      <c r="O24" s="2"/>
    </row>
    <row r="25" spans="1:15" ht="12.75" customHeight="1">
      <c r="A25" s="1" t="s">
        <v>782</v>
      </c>
      <c r="B25" s="1" t="s">
        <v>783</v>
      </c>
      <c r="C25" s="1" t="s">
        <v>507</v>
      </c>
      <c r="D25" s="1" t="s">
        <v>130</v>
      </c>
      <c r="E25" s="13">
        <v>42831</v>
      </c>
      <c r="F25" s="13">
        <v>42846</v>
      </c>
      <c r="G25" s="1"/>
      <c r="H25" s="13">
        <v>42832</v>
      </c>
      <c r="I25" s="1">
        <v>216.44</v>
      </c>
      <c r="J25" s="1">
        <v>216.44</v>
      </c>
      <c r="K25" s="1">
        <v>0</v>
      </c>
      <c r="L25" s="1"/>
      <c r="M25" s="1" t="s">
        <v>500</v>
      </c>
      <c r="N25" s="1" t="s">
        <v>496</v>
      </c>
      <c r="O25" s="2"/>
    </row>
    <row r="26" spans="1:15" ht="12.75" customHeight="1">
      <c r="A26" s="1" t="s">
        <v>784</v>
      </c>
      <c r="B26" s="1" t="s">
        <v>785</v>
      </c>
      <c r="C26" s="1" t="s">
        <v>507</v>
      </c>
      <c r="D26" s="1" t="s">
        <v>395</v>
      </c>
      <c r="E26" s="13">
        <v>42831</v>
      </c>
      <c r="F26" s="13">
        <v>42846</v>
      </c>
      <c r="G26" s="1"/>
      <c r="H26" s="13">
        <v>42835</v>
      </c>
      <c r="I26" s="1">
        <v>251.02</v>
      </c>
      <c r="J26" s="1">
        <v>251.02</v>
      </c>
      <c r="K26" s="1">
        <v>0</v>
      </c>
      <c r="L26" s="1"/>
      <c r="M26" s="1" t="s">
        <v>500</v>
      </c>
      <c r="N26" s="1" t="s">
        <v>496</v>
      </c>
      <c r="O26" s="2"/>
    </row>
    <row r="27" spans="1:15" ht="12.75" customHeight="1">
      <c r="A27" s="1" t="s">
        <v>786</v>
      </c>
      <c r="B27" s="1" t="s">
        <v>787</v>
      </c>
      <c r="C27" s="1" t="s">
        <v>507</v>
      </c>
      <c r="D27" s="1" t="s">
        <v>733</v>
      </c>
      <c r="E27" s="13">
        <v>42831</v>
      </c>
      <c r="F27" s="13">
        <v>42846</v>
      </c>
      <c r="G27" s="1"/>
      <c r="H27" s="13">
        <v>42835</v>
      </c>
      <c r="I27" s="1">
        <v>677.07</v>
      </c>
      <c r="J27" s="1">
        <v>677.07</v>
      </c>
      <c r="K27" s="1">
        <v>0</v>
      </c>
      <c r="L27" s="1"/>
      <c r="M27" s="1" t="s">
        <v>500</v>
      </c>
      <c r="N27" s="1" t="s">
        <v>496</v>
      </c>
      <c r="O27" s="2"/>
    </row>
    <row r="28" spans="1:15" ht="12.75" customHeight="1">
      <c r="A28" s="1" t="s">
        <v>788</v>
      </c>
      <c r="B28" s="1" t="s">
        <v>789</v>
      </c>
      <c r="C28" s="1" t="s">
        <v>507</v>
      </c>
      <c r="D28" s="1" t="s">
        <v>790</v>
      </c>
      <c r="E28" s="13">
        <v>42831</v>
      </c>
      <c r="F28" s="13">
        <v>42846</v>
      </c>
      <c r="G28" s="1"/>
      <c r="H28" s="1"/>
      <c r="I28" s="1">
        <v>0</v>
      </c>
      <c r="J28" s="1">
        <v>0</v>
      </c>
      <c r="K28" s="1">
        <v>0</v>
      </c>
      <c r="L28" s="1"/>
      <c r="M28" s="1" t="s">
        <v>500</v>
      </c>
      <c r="N28" s="1" t="s">
        <v>496</v>
      </c>
      <c r="O28" s="2"/>
    </row>
    <row r="29" spans="1:15" ht="12.75" customHeight="1">
      <c r="A29" s="1" t="s">
        <v>791</v>
      </c>
      <c r="B29" s="1" t="s">
        <v>792</v>
      </c>
      <c r="C29" s="1" t="s">
        <v>507</v>
      </c>
      <c r="D29" s="1" t="s">
        <v>725</v>
      </c>
      <c r="E29" s="13">
        <v>42831</v>
      </c>
      <c r="F29" s="13">
        <v>42846</v>
      </c>
      <c r="G29" s="1"/>
      <c r="H29" s="13">
        <v>42836</v>
      </c>
      <c r="I29" s="1">
        <v>64.65</v>
      </c>
      <c r="J29" s="1">
        <v>64.65</v>
      </c>
      <c r="K29" s="1">
        <v>0</v>
      </c>
      <c r="L29" s="1"/>
      <c r="M29" s="1" t="s">
        <v>500</v>
      </c>
      <c r="N29" s="1" t="s">
        <v>496</v>
      </c>
      <c r="O29" s="2"/>
    </row>
    <row r="30" spans="1:15" ht="12.75" customHeight="1">
      <c r="A30" s="1" t="s">
        <v>793</v>
      </c>
      <c r="B30" s="1" t="s">
        <v>794</v>
      </c>
      <c r="C30" s="1" t="s">
        <v>507</v>
      </c>
      <c r="D30" s="1" t="s">
        <v>702</v>
      </c>
      <c r="E30" s="13">
        <v>42831</v>
      </c>
      <c r="F30" s="13">
        <v>42846</v>
      </c>
      <c r="G30" s="1"/>
      <c r="H30" s="1"/>
      <c r="I30" s="1">
        <v>0</v>
      </c>
      <c r="J30" s="1">
        <v>0</v>
      </c>
      <c r="K30" s="1">
        <v>0</v>
      </c>
      <c r="L30" s="1"/>
      <c r="M30" s="1" t="s">
        <v>500</v>
      </c>
      <c r="N30" s="1" t="s">
        <v>496</v>
      </c>
      <c r="O30" s="2"/>
    </row>
    <row r="31" spans="1:15" ht="12.75" customHeight="1">
      <c r="A31" s="1" t="s">
        <v>795</v>
      </c>
      <c r="B31" s="1" t="s">
        <v>796</v>
      </c>
      <c r="C31" s="1" t="s">
        <v>507</v>
      </c>
      <c r="D31" s="1" t="s">
        <v>702</v>
      </c>
      <c r="E31" s="13">
        <v>42831</v>
      </c>
      <c r="F31" s="13">
        <v>42846</v>
      </c>
      <c r="G31" s="1"/>
      <c r="H31" s="1"/>
      <c r="I31" s="1">
        <v>0</v>
      </c>
      <c r="J31" s="1">
        <v>0</v>
      </c>
      <c r="K31" s="1">
        <v>0</v>
      </c>
      <c r="L31" s="1"/>
      <c r="M31" s="1" t="s">
        <v>500</v>
      </c>
      <c r="N31" s="1" t="s">
        <v>496</v>
      </c>
      <c r="O31" s="2"/>
    </row>
    <row r="32" spans="1:15" ht="12.75" customHeight="1">
      <c r="A32" s="1" t="s">
        <v>797</v>
      </c>
      <c r="B32" s="1" t="s">
        <v>798</v>
      </c>
      <c r="C32" s="1" t="s">
        <v>507</v>
      </c>
      <c r="D32" s="1" t="s">
        <v>200</v>
      </c>
      <c r="E32" s="13">
        <v>42836</v>
      </c>
      <c r="F32" s="13">
        <v>42851</v>
      </c>
      <c r="G32" s="1"/>
      <c r="H32" s="13">
        <v>42836</v>
      </c>
      <c r="I32" s="1">
        <v>45.25</v>
      </c>
      <c r="J32" s="1">
        <v>45.25</v>
      </c>
      <c r="K32" s="1">
        <v>0</v>
      </c>
      <c r="L32" s="1"/>
      <c r="M32" s="1" t="s">
        <v>500</v>
      </c>
      <c r="N32" s="1" t="s">
        <v>496</v>
      </c>
      <c r="O32" s="2"/>
    </row>
    <row r="33" spans="1:15" ht="12.75" customHeight="1">
      <c r="A33" s="1" t="s">
        <v>799</v>
      </c>
      <c r="B33" s="1" t="s">
        <v>800</v>
      </c>
      <c r="C33" s="1" t="s">
        <v>507</v>
      </c>
      <c r="D33" s="1" t="s">
        <v>737</v>
      </c>
      <c r="E33" s="13">
        <v>42836</v>
      </c>
      <c r="F33" s="13">
        <v>42851</v>
      </c>
      <c r="G33" s="1"/>
      <c r="H33" s="13">
        <v>42836</v>
      </c>
      <c r="I33" s="1">
        <v>56.73</v>
      </c>
      <c r="J33" s="1">
        <v>56.73</v>
      </c>
      <c r="K33" s="1">
        <v>0</v>
      </c>
      <c r="L33" s="1"/>
      <c r="M33" s="1" t="s">
        <v>500</v>
      </c>
      <c r="N33" s="1" t="s">
        <v>496</v>
      </c>
      <c r="O33" s="2"/>
    </row>
    <row r="34" spans="1:15" ht="12.75" customHeight="1">
      <c r="A34" s="1" t="s">
        <v>801</v>
      </c>
      <c r="B34" s="1" t="s">
        <v>802</v>
      </c>
      <c r="C34" s="1" t="s">
        <v>507</v>
      </c>
      <c r="D34" s="1" t="s">
        <v>175</v>
      </c>
      <c r="E34" s="13">
        <v>42836</v>
      </c>
      <c r="F34" s="13">
        <v>42851</v>
      </c>
      <c r="G34" s="1"/>
      <c r="H34" s="13">
        <v>42837</v>
      </c>
      <c r="I34" s="1">
        <v>42.02</v>
      </c>
      <c r="J34" s="1">
        <v>42.02</v>
      </c>
      <c r="K34" s="1">
        <v>0</v>
      </c>
      <c r="L34" s="1"/>
      <c r="M34" s="1" t="s">
        <v>500</v>
      </c>
      <c r="N34" s="1" t="s">
        <v>496</v>
      </c>
      <c r="O34" s="2"/>
    </row>
    <row r="35" spans="1:15" ht="12.75" customHeight="1">
      <c r="A35" s="1" t="s">
        <v>803</v>
      </c>
      <c r="B35" s="1" t="s">
        <v>804</v>
      </c>
      <c r="C35" s="1" t="s">
        <v>507</v>
      </c>
      <c r="D35" s="1" t="s">
        <v>563</v>
      </c>
      <c r="E35" s="13">
        <v>42836</v>
      </c>
      <c r="F35" s="13">
        <v>42851</v>
      </c>
      <c r="G35" s="1"/>
      <c r="H35" s="13">
        <v>42837</v>
      </c>
      <c r="I35" s="1">
        <v>219.25</v>
      </c>
      <c r="J35" s="1">
        <v>219.25</v>
      </c>
      <c r="K35" s="1">
        <v>0</v>
      </c>
      <c r="L35" s="1"/>
      <c r="M35" s="1" t="s">
        <v>500</v>
      </c>
      <c r="N35" s="1" t="s">
        <v>496</v>
      </c>
      <c r="O35" s="2"/>
    </row>
    <row r="36" spans="1:15" ht="12.75" customHeight="1">
      <c r="A36" s="1" t="s">
        <v>805</v>
      </c>
      <c r="B36" s="1" t="s">
        <v>806</v>
      </c>
      <c r="C36" s="1" t="s">
        <v>507</v>
      </c>
      <c r="D36" s="1" t="s">
        <v>108</v>
      </c>
      <c r="E36" s="13">
        <v>42836</v>
      </c>
      <c r="F36" s="13">
        <v>42870</v>
      </c>
      <c r="G36" s="1"/>
      <c r="H36" s="13">
        <v>42837</v>
      </c>
      <c r="I36" s="1">
        <v>23.11</v>
      </c>
      <c r="J36" s="1">
        <v>23.11</v>
      </c>
      <c r="K36" s="1">
        <v>0</v>
      </c>
      <c r="L36" s="1"/>
      <c r="M36" s="1" t="s">
        <v>500</v>
      </c>
      <c r="N36" s="1" t="s">
        <v>496</v>
      </c>
      <c r="O36" s="2"/>
    </row>
    <row r="37" spans="1:15" ht="12.75" customHeight="1">
      <c r="A37" s="1" t="s">
        <v>807</v>
      </c>
      <c r="B37" s="1" t="s">
        <v>808</v>
      </c>
      <c r="C37" s="1" t="s">
        <v>507</v>
      </c>
      <c r="D37" s="1" t="s">
        <v>554</v>
      </c>
      <c r="E37" s="13">
        <v>42836</v>
      </c>
      <c r="F37" s="13">
        <v>42851</v>
      </c>
      <c r="G37" s="1"/>
      <c r="H37" s="13">
        <v>42837</v>
      </c>
      <c r="I37" s="1">
        <v>84.04</v>
      </c>
      <c r="J37" s="1">
        <v>84.04</v>
      </c>
      <c r="K37" s="1">
        <v>0</v>
      </c>
      <c r="L37" s="1"/>
      <c r="M37" s="1" t="s">
        <v>500</v>
      </c>
      <c r="N37" s="1" t="s">
        <v>496</v>
      </c>
      <c r="O37" s="2"/>
    </row>
    <row r="38" spans="1:15" ht="12.75" customHeight="1">
      <c r="A38" s="1" t="s">
        <v>809</v>
      </c>
      <c r="B38" s="1" t="s">
        <v>810</v>
      </c>
      <c r="C38" s="1" t="s">
        <v>507</v>
      </c>
      <c r="D38" s="1" t="s">
        <v>726</v>
      </c>
      <c r="E38" s="13">
        <v>42836</v>
      </c>
      <c r="F38" s="13">
        <v>42851</v>
      </c>
      <c r="G38" s="1"/>
      <c r="H38" s="13">
        <v>42837</v>
      </c>
      <c r="I38" s="1">
        <v>27.31</v>
      </c>
      <c r="J38" s="1">
        <v>27.31</v>
      </c>
      <c r="K38" s="1">
        <v>0</v>
      </c>
      <c r="L38" s="1"/>
      <c r="M38" s="1" t="s">
        <v>500</v>
      </c>
      <c r="N38" s="1" t="s">
        <v>496</v>
      </c>
      <c r="O38" s="2"/>
    </row>
    <row r="39" spans="1:15" ht="12.75" customHeight="1">
      <c r="A39" s="1" t="s">
        <v>811</v>
      </c>
      <c r="B39" s="1" t="s">
        <v>812</v>
      </c>
      <c r="C39" s="1" t="s">
        <v>507</v>
      </c>
      <c r="D39" s="1" t="s">
        <v>726</v>
      </c>
      <c r="E39" s="13">
        <v>42836</v>
      </c>
      <c r="F39" s="13">
        <v>42851</v>
      </c>
      <c r="G39" s="1"/>
      <c r="H39" s="13">
        <v>42837</v>
      </c>
      <c r="I39" s="1">
        <v>74.33</v>
      </c>
      <c r="J39" s="1">
        <v>74.33</v>
      </c>
      <c r="K39" s="1">
        <v>0</v>
      </c>
      <c r="L39" s="1"/>
      <c r="M39" s="1" t="s">
        <v>500</v>
      </c>
      <c r="N39" s="1" t="s">
        <v>496</v>
      </c>
      <c r="O39" s="2"/>
    </row>
    <row r="40" spans="1:15" ht="12.75" customHeight="1">
      <c r="A40" s="1" t="s">
        <v>813</v>
      </c>
      <c r="B40" s="1" t="s">
        <v>814</v>
      </c>
      <c r="C40" s="1" t="s">
        <v>507</v>
      </c>
      <c r="D40" s="1" t="s">
        <v>724</v>
      </c>
      <c r="E40" s="13">
        <v>42836</v>
      </c>
      <c r="F40" s="13">
        <v>42851</v>
      </c>
      <c r="G40" s="1"/>
      <c r="H40" s="13">
        <v>42837</v>
      </c>
      <c r="I40" s="1">
        <v>98.05</v>
      </c>
      <c r="J40" s="1">
        <v>98.05</v>
      </c>
      <c r="K40" s="1">
        <v>0</v>
      </c>
      <c r="L40" s="1"/>
      <c r="M40" s="1" t="s">
        <v>500</v>
      </c>
      <c r="N40" s="1" t="s">
        <v>496</v>
      </c>
      <c r="O40" s="2"/>
    </row>
    <row r="41" spans="1:15" ht="12.75" customHeight="1">
      <c r="A41" s="1" t="s">
        <v>815</v>
      </c>
      <c r="B41" s="1" t="s">
        <v>816</v>
      </c>
      <c r="C41" s="1" t="s">
        <v>507</v>
      </c>
      <c r="D41" s="1" t="s">
        <v>197</v>
      </c>
      <c r="E41" s="13">
        <v>42836</v>
      </c>
      <c r="F41" s="13">
        <v>42851</v>
      </c>
      <c r="G41" s="1"/>
      <c r="H41" s="13">
        <v>42838</v>
      </c>
      <c r="I41" s="1">
        <v>88.35</v>
      </c>
      <c r="J41" s="1">
        <v>88.35</v>
      </c>
      <c r="K41" s="1">
        <v>0</v>
      </c>
      <c r="L41" s="1"/>
      <c r="M41" s="1" t="s">
        <v>500</v>
      </c>
      <c r="N41" s="1" t="s">
        <v>496</v>
      </c>
      <c r="O41" s="2"/>
    </row>
    <row r="42" spans="1:15" ht="12.75" customHeight="1">
      <c r="A42" s="1" t="s">
        <v>817</v>
      </c>
      <c r="B42" s="1" t="s">
        <v>818</v>
      </c>
      <c r="C42" s="1" t="s">
        <v>507</v>
      </c>
      <c r="D42" s="1" t="s">
        <v>730</v>
      </c>
      <c r="E42" s="13">
        <v>42836</v>
      </c>
      <c r="F42" s="13">
        <v>42851</v>
      </c>
      <c r="G42" s="1"/>
      <c r="H42" s="13">
        <v>42838</v>
      </c>
      <c r="I42" s="1">
        <v>151.68</v>
      </c>
      <c r="J42" s="1">
        <v>151.68</v>
      </c>
      <c r="K42" s="1">
        <v>0</v>
      </c>
      <c r="L42" s="1"/>
      <c r="M42" s="1" t="s">
        <v>500</v>
      </c>
      <c r="N42" s="1" t="s">
        <v>496</v>
      </c>
      <c r="O42" s="2"/>
    </row>
    <row r="43" spans="1:15" ht="12.75" customHeight="1">
      <c r="A43" s="1" t="s">
        <v>819</v>
      </c>
      <c r="B43" s="1" t="s">
        <v>820</v>
      </c>
      <c r="C43" s="1" t="s">
        <v>507</v>
      </c>
      <c r="D43" s="1" t="s">
        <v>410</v>
      </c>
      <c r="E43" s="13">
        <v>42836</v>
      </c>
      <c r="F43" s="13">
        <v>42851</v>
      </c>
      <c r="G43" s="1"/>
      <c r="H43" s="13">
        <v>42838</v>
      </c>
      <c r="I43" s="1">
        <v>274.59</v>
      </c>
      <c r="J43" s="1">
        <v>274.59</v>
      </c>
      <c r="K43" s="1">
        <v>0</v>
      </c>
      <c r="L43" s="1"/>
      <c r="M43" s="1" t="s">
        <v>500</v>
      </c>
      <c r="N43" s="1" t="s">
        <v>496</v>
      </c>
      <c r="O43" s="2"/>
    </row>
    <row r="44" spans="1:15" ht="12.75" customHeight="1">
      <c r="A44" s="1" t="s">
        <v>821</v>
      </c>
      <c r="B44" s="1" t="s">
        <v>822</v>
      </c>
      <c r="C44" s="1" t="s">
        <v>507</v>
      </c>
      <c r="D44" s="1" t="s">
        <v>96</v>
      </c>
      <c r="E44" s="13">
        <v>42836</v>
      </c>
      <c r="F44" s="13">
        <v>42851</v>
      </c>
      <c r="G44" s="1"/>
      <c r="H44" s="13">
        <v>42838</v>
      </c>
      <c r="I44" s="1">
        <v>949.44</v>
      </c>
      <c r="J44" s="1">
        <v>949.44</v>
      </c>
      <c r="K44" s="1">
        <v>0</v>
      </c>
      <c r="L44" s="1"/>
      <c r="M44" s="1" t="s">
        <v>500</v>
      </c>
      <c r="N44" s="1" t="s">
        <v>496</v>
      </c>
      <c r="O44" s="2"/>
    </row>
    <row r="45" spans="1:15" ht="12.75" customHeight="1">
      <c r="A45" s="1" t="s">
        <v>823</v>
      </c>
      <c r="B45" s="1" t="s">
        <v>824</v>
      </c>
      <c r="C45" s="1" t="s">
        <v>507</v>
      </c>
      <c r="D45" s="1" t="s">
        <v>505</v>
      </c>
      <c r="E45" s="13">
        <v>42836</v>
      </c>
      <c r="F45" s="13">
        <v>42851</v>
      </c>
      <c r="G45" s="1"/>
      <c r="H45" s="1"/>
      <c r="I45" s="1">
        <v>0</v>
      </c>
      <c r="J45" s="1">
        <v>0</v>
      </c>
      <c r="K45" s="1">
        <v>0</v>
      </c>
      <c r="L45" s="1"/>
      <c r="M45" s="1" t="s">
        <v>500</v>
      </c>
      <c r="N45" s="1" t="s">
        <v>496</v>
      </c>
      <c r="O45" s="2"/>
    </row>
    <row r="46" spans="1:15" ht="12.75" customHeight="1">
      <c r="A46" s="1" t="s">
        <v>825</v>
      </c>
      <c r="B46" s="1" t="s">
        <v>826</v>
      </c>
      <c r="C46" s="1" t="s">
        <v>507</v>
      </c>
      <c r="D46" s="1" t="s">
        <v>827</v>
      </c>
      <c r="E46" s="13">
        <v>42836</v>
      </c>
      <c r="F46" s="13">
        <v>42851</v>
      </c>
      <c r="G46" s="1"/>
      <c r="H46" s="1"/>
      <c r="I46" s="1">
        <v>0</v>
      </c>
      <c r="J46" s="1">
        <v>0</v>
      </c>
      <c r="K46" s="1">
        <v>0</v>
      </c>
      <c r="L46" s="1"/>
      <c r="M46" s="1" t="s">
        <v>500</v>
      </c>
      <c r="N46" s="1" t="s">
        <v>496</v>
      </c>
      <c r="O46" s="2"/>
    </row>
    <row r="47" spans="1:15" ht="12.75" customHeight="1">
      <c r="A47" s="1" t="s">
        <v>828</v>
      </c>
      <c r="B47" s="1" t="s">
        <v>829</v>
      </c>
      <c r="C47" s="1" t="s">
        <v>507</v>
      </c>
      <c r="D47" s="1" t="s">
        <v>105</v>
      </c>
      <c r="E47" s="13">
        <v>42836</v>
      </c>
      <c r="F47" s="13">
        <v>42865</v>
      </c>
      <c r="G47" s="1"/>
      <c r="H47" s="13">
        <v>42863</v>
      </c>
      <c r="I47" s="1">
        <v>22.75</v>
      </c>
      <c r="J47" s="1">
        <v>22.75</v>
      </c>
      <c r="K47" s="1">
        <v>0</v>
      </c>
      <c r="L47" s="1"/>
      <c r="M47" s="1" t="s">
        <v>500</v>
      </c>
      <c r="N47" s="1" t="s">
        <v>496</v>
      </c>
      <c r="O47" s="2"/>
    </row>
    <row r="48" spans="1:15" ht="12.75" customHeight="1">
      <c r="A48" s="1" t="s">
        <v>830</v>
      </c>
      <c r="B48" s="1" t="s">
        <v>831</v>
      </c>
      <c r="C48" s="1" t="s">
        <v>507</v>
      </c>
      <c r="D48" s="1" t="s">
        <v>355</v>
      </c>
      <c r="E48" s="13">
        <v>42836</v>
      </c>
      <c r="F48" s="13">
        <v>42851</v>
      </c>
      <c r="G48" s="1"/>
      <c r="H48" s="13">
        <v>42843</v>
      </c>
      <c r="I48" s="1">
        <v>37.71</v>
      </c>
      <c r="J48" s="1">
        <v>37.71</v>
      </c>
      <c r="K48" s="1">
        <v>0</v>
      </c>
      <c r="L48" s="1"/>
      <c r="M48" s="1" t="s">
        <v>500</v>
      </c>
      <c r="N48" s="1" t="s">
        <v>496</v>
      </c>
      <c r="O48" s="2"/>
    </row>
    <row r="49" spans="1:15" ht="12.75" customHeight="1">
      <c r="A49" s="1" t="s">
        <v>832</v>
      </c>
      <c r="B49" s="1" t="s">
        <v>833</v>
      </c>
      <c r="C49" s="1" t="s">
        <v>507</v>
      </c>
      <c r="D49" s="1" t="s">
        <v>359</v>
      </c>
      <c r="E49" s="13">
        <v>42836</v>
      </c>
      <c r="F49" s="13">
        <v>42851</v>
      </c>
      <c r="G49" s="1"/>
      <c r="H49" s="13">
        <v>42843</v>
      </c>
      <c r="I49" s="1">
        <v>48.84</v>
      </c>
      <c r="J49" s="1">
        <v>48.84</v>
      </c>
      <c r="K49" s="1">
        <v>0</v>
      </c>
      <c r="L49" s="1"/>
      <c r="M49" s="1" t="s">
        <v>500</v>
      </c>
      <c r="N49" s="1" t="s">
        <v>496</v>
      </c>
      <c r="O49" s="2"/>
    </row>
    <row r="50" spans="1:15" ht="12.75" customHeight="1">
      <c r="A50" s="1" t="s">
        <v>834</v>
      </c>
      <c r="B50" s="1" t="s">
        <v>835</v>
      </c>
      <c r="C50" s="1" t="s">
        <v>507</v>
      </c>
      <c r="D50" s="1" t="s">
        <v>738</v>
      </c>
      <c r="E50" s="13">
        <v>42836</v>
      </c>
      <c r="F50" s="13">
        <v>42851</v>
      </c>
      <c r="G50" s="1"/>
      <c r="H50" s="13">
        <v>42843</v>
      </c>
      <c r="I50" s="1">
        <v>72.91</v>
      </c>
      <c r="J50" s="1">
        <v>72.91</v>
      </c>
      <c r="K50" s="1">
        <v>0</v>
      </c>
      <c r="L50" s="1"/>
      <c r="M50" s="1" t="s">
        <v>500</v>
      </c>
      <c r="N50" s="1" t="s">
        <v>496</v>
      </c>
      <c r="O50" s="2"/>
    </row>
    <row r="51" spans="1:15" ht="12.75" customHeight="1">
      <c r="A51" s="1" t="s">
        <v>836</v>
      </c>
      <c r="B51" s="1" t="s">
        <v>837</v>
      </c>
      <c r="C51" s="1" t="s">
        <v>507</v>
      </c>
      <c r="D51" s="1" t="s">
        <v>179</v>
      </c>
      <c r="E51" s="13">
        <v>42836</v>
      </c>
      <c r="F51" s="13">
        <v>42855</v>
      </c>
      <c r="G51" s="1"/>
      <c r="H51" s="13">
        <v>42836</v>
      </c>
      <c r="I51" s="1">
        <v>93.22</v>
      </c>
      <c r="J51" s="1">
        <v>93.22</v>
      </c>
      <c r="K51" s="1">
        <v>0</v>
      </c>
      <c r="L51" s="1"/>
      <c r="M51" s="1" t="s">
        <v>500</v>
      </c>
      <c r="N51" s="1" t="s">
        <v>496</v>
      </c>
      <c r="O51" s="2"/>
    </row>
    <row r="52" spans="1:15" ht="12.75" customHeight="1">
      <c r="A52" s="1" t="s">
        <v>838</v>
      </c>
      <c r="B52" s="1" t="s">
        <v>839</v>
      </c>
      <c r="C52" s="1" t="s">
        <v>507</v>
      </c>
      <c r="D52" s="1" t="s">
        <v>113</v>
      </c>
      <c r="E52" s="13">
        <v>42838</v>
      </c>
      <c r="F52" s="13">
        <v>42870</v>
      </c>
      <c r="G52" s="1"/>
      <c r="H52" s="1"/>
      <c r="I52" s="1">
        <v>32.92</v>
      </c>
      <c r="J52" s="1">
        <v>0</v>
      </c>
      <c r="K52" s="1">
        <v>32.92</v>
      </c>
      <c r="L52" s="1"/>
      <c r="M52" s="1" t="s">
        <v>498</v>
      </c>
      <c r="N52" s="1" t="s">
        <v>506</v>
      </c>
      <c r="O52" s="2"/>
    </row>
    <row r="53" spans="1:15" ht="12.75" customHeight="1">
      <c r="A53" s="1" t="s">
        <v>840</v>
      </c>
      <c r="B53" s="1" t="s">
        <v>841</v>
      </c>
      <c r="C53" s="1" t="s">
        <v>507</v>
      </c>
      <c r="D53" s="1" t="s">
        <v>112</v>
      </c>
      <c r="E53" s="13">
        <v>42838</v>
      </c>
      <c r="F53" s="13">
        <v>42870</v>
      </c>
      <c r="G53" s="1"/>
      <c r="H53" s="1"/>
      <c r="I53" s="1">
        <v>322.09</v>
      </c>
      <c r="J53" s="1">
        <v>0</v>
      </c>
      <c r="K53" s="1">
        <v>322.09</v>
      </c>
      <c r="L53" s="1"/>
      <c r="M53" s="1" t="s">
        <v>500</v>
      </c>
      <c r="N53" s="1" t="s">
        <v>506</v>
      </c>
      <c r="O53" s="2"/>
    </row>
    <row r="54" spans="1:15" ht="12.75" customHeight="1">
      <c r="A54" s="1" t="s">
        <v>842</v>
      </c>
      <c r="B54" s="1" t="s">
        <v>843</v>
      </c>
      <c r="C54" s="1" t="s">
        <v>507</v>
      </c>
      <c r="D54" s="1" t="s">
        <v>96</v>
      </c>
      <c r="E54" s="13">
        <v>42838</v>
      </c>
      <c r="F54" s="13">
        <v>42853</v>
      </c>
      <c r="G54" s="1"/>
      <c r="H54" s="13">
        <v>42843</v>
      </c>
      <c r="I54" s="1">
        <v>1454.28</v>
      </c>
      <c r="J54" s="1">
        <v>1454.28</v>
      </c>
      <c r="K54" s="1">
        <v>0</v>
      </c>
      <c r="L54" s="1"/>
      <c r="M54" s="1" t="s">
        <v>500</v>
      </c>
      <c r="N54" s="1" t="s">
        <v>496</v>
      </c>
      <c r="O54" s="2"/>
    </row>
    <row r="55" spans="1:15" ht="12.75" customHeight="1">
      <c r="A55" s="1" t="s">
        <v>844</v>
      </c>
      <c r="B55" s="1" t="s">
        <v>845</v>
      </c>
      <c r="C55" s="1" t="s">
        <v>507</v>
      </c>
      <c r="D55" s="1" t="s">
        <v>113</v>
      </c>
      <c r="E55" s="13">
        <v>42838</v>
      </c>
      <c r="F55" s="13">
        <v>42870</v>
      </c>
      <c r="G55" s="1"/>
      <c r="H55" s="1"/>
      <c r="I55" s="1">
        <v>1519.18</v>
      </c>
      <c r="J55" s="1">
        <v>0</v>
      </c>
      <c r="K55" s="1">
        <v>1519.18</v>
      </c>
      <c r="L55" s="1"/>
      <c r="M55" s="1" t="s">
        <v>498</v>
      </c>
      <c r="N55" s="1" t="s">
        <v>506</v>
      </c>
      <c r="O55" s="2"/>
    </row>
    <row r="56" spans="1:15" ht="12.75" customHeight="1">
      <c r="A56" s="1" t="s">
        <v>846</v>
      </c>
      <c r="B56" s="1" t="s">
        <v>847</v>
      </c>
      <c r="C56" s="1" t="s">
        <v>507</v>
      </c>
      <c r="D56" s="1" t="s">
        <v>96</v>
      </c>
      <c r="E56" s="13">
        <v>42838</v>
      </c>
      <c r="F56" s="13">
        <v>42853</v>
      </c>
      <c r="G56" s="1"/>
      <c r="H56" s="13">
        <v>42843</v>
      </c>
      <c r="I56" s="1">
        <v>462.24</v>
      </c>
      <c r="J56" s="1">
        <v>462.24</v>
      </c>
      <c r="K56" s="1">
        <v>0</v>
      </c>
      <c r="L56" s="1"/>
      <c r="M56" s="1" t="s">
        <v>500</v>
      </c>
      <c r="N56" s="1" t="s">
        <v>496</v>
      </c>
      <c r="O56" s="2"/>
    </row>
    <row r="57" spans="1:15" ht="12.75" customHeight="1">
      <c r="A57" s="1" t="s">
        <v>848</v>
      </c>
      <c r="B57" s="1" t="s">
        <v>849</v>
      </c>
      <c r="C57" s="1" t="s">
        <v>507</v>
      </c>
      <c r="D57" s="1" t="s">
        <v>335</v>
      </c>
      <c r="E57" s="13">
        <v>42838</v>
      </c>
      <c r="F57" s="13">
        <v>42853</v>
      </c>
      <c r="G57" s="1"/>
      <c r="H57" s="13">
        <v>42843</v>
      </c>
      <c r="I57" s="1">
        <v>127.14</v>
      </c>
      <c r="J57" s="1">
        <v>127.14</v>
      </c>
      <c r="K57" s="1">
        <v>0</v>
      </c>
      <c r="L57" s="1"/>
      <c r="M57" s="1" t="s">
        <v>500</v>
      </c>
      <c r="N57" s="1" t="s">
        <v>496</v>
      </c>
      <c r="O57" s="2"/>
    </row>
    <row r="58" spans="1:15" ht="12.75" customHeight="1">
      <c r="A58" s="1" t="s">
        <v>850</v>
      </c>
      <c r="B58" s="1" t="s">
        <v>851</v>
      </c>
      <c r="C58" s="1" t="s">
        <v>507</v>
      </c>
      <c r="D58" s="1" t="s">
        <v>563</v>
      </c>
      <c r="E58" s="13">
        <v>42838</v>
      </c>
      <c r="F58" s="13">
        <v>42853</v>
      </c>
      <c r="G58" s="1"/>
      <c r="H58" s="13">
        <v>42843</v>
      </c>
      <c r="I58" s="1">
        <v>171.3</v>
      </c>
      <c r="J58" s="1">
        <v>171.3</v>
      </c>
      <c r="K58" s="1">
        <v>0</v>
      </c>
      <c r="L58" s="1"/>
      <c r="M58" s="1" t="s">
        <v>500</v>
      </c>
      <c r="N58" s="1" t="s">
        <v>496</v>
      </c>
      <c r="O58" s="2"/>
    </row>
    <row r="59" spans="1:15" ht="12.75" customHeight="1">
      <c r="A59" s="1" t="s">
        <v>852</v>
      </c>
      <c r="B59" s="1" t="s">
        <v>853</v>
      </c>
      <c r="C59" s="1" t="s">
        <v>507</v>
      </c>
      <c r="D59" s="1" t="s">
        <v>190</v>
      </c>
      <c r="E59" s="13">
        <v>42838</v>
      </c>
      <c r="F59" s="13">
        <v>42853</v>
      </c>
      <c r="G59" s="1"/>
      <c r="H59" s="13">
        <v>42844</v>
      </c>
      <c r="I59" s="1">
        <v>27.31</v>
      </c>
      <c r="J59" s="1">
        <v>27.31</v>
      </c>
      <c r="K59" s="1">
        <v>0</v>
      </c>
      <c r="L59" s="1"/>
      <c r="M59" s="1" t="s">
        <v>500</v>
      </c>
      <c r="N59" s="1" t="s">
        <v>496</v>
      </c>
      <c r="O59" s="2"/>
    </row>
    <row r="60" spans="1:15" ht="12.75" customHeight="1">
      <c r="A60" s="1" t="s">
        <v>854</v>
      </c>
      <c r="B60" s="1" t="s">
        <v>855</v>
      </c>
      <c r="C60" s="1" t="s">
        <v>507</v>
      </c>
      <c r="D60" s="1" t="s">
        <v>731</v>
      </c>
      <c r="E60" s="13">
        <v>42838</v>
      </c>
      <c r="F60" s="13">
        <v>42853</v>
      </c>
      <c r="G60" s="1"/>
      <c r="H60" s="13">
        <v>42844</v>
      </c>
      <c r="I60" s="1">
        <v>192.01</v>
      </c>
      <c r="J60" s="1">
        <v>192.01</v>
      </c>
      <c r="K60" s="1">
        <v>0</v>
      </c>
      <c r="L60" s="1"/>
      <c r="M60" s="1" t="s">
        <v>500</v>
      </c>
      <c r="N60" s="1" t="s">
        <v>496</v>
      </c>
      <c r="O60" s="2"/>
    </row>
    <row r="61" spans="1:15" ht="12.75" customHeight="1">
      <c r="A61" s="1" t="s">
        <v>856</v>
      </c>
      <c r="B61" s="1" t="s">
        <v>857</v>
      </c>
      <c r="C61" s="1" t="s">
        <v>507</v>
      </c>
      <c r="D61" s="1" t="s">
        <v>316</v>
      </c>
      <c r="E61" s="13">
        <v>42838</v>
      </c>
      <c r="F61" s="13">
        <v>42853</v>
      </c>
      <c r="G61" s="1"/>
      <c r="H61" s="13">
        <v>42844</v>
      </c>
      <c r="I61" s="1">
        <v>186.83</v>
      </c>
      <c r="J61" s="1">
        <v>186.83</v>
      </c>
      <c r="K61" s="1">
        <v>0</v>
      </c>
      <c r="L61" s="1"/>
      <c r="M61" s="1" t="s">
        <v>500</v>
      </c>
      <c r="N61" s="1" t="s">
        <v>496</v>
      </c>
      <c r="O61" s="2"/>
    </row>
    <row r="62" spans="1:15" ht="12.75" customHeight="1">
      <c r="A62" s="1" t="s">
        <v>858</v>
      </c>
      <c r="B62" s="1" t="s">
        <v>859</v>
      </c>
      <c r="C62" s="1" t="s">
        <v>507</v>
      </c>
      <c r="D62" s="1" t="s">
        <v>340</v>
      </c>
      <c r="E62" s="13">
        <v>42838</v>
      </c>
      <c r="F62" s="13">
        <v>42853</v>
      </c>
      <c r="G62" s="1"/>
      <c r="H62" s="13">
        <v>42844</v>
      </c>
      <c r="I62" s="1">
        <v>45.25</v>
      </c>
      <c r="J62" s="1">
        <v>45.25</v>
      </c>
      <c r="K62" s="1">
        <v>0</v>
      </c>
      <c r="L62" s="1"/>
      <c r="M62" s="1" t="s">
        <v>500</v>
      </c>
      <c r="N62" s="1" t="s">
        <v>496</v>
      </c>
      <c r="O62" s="2"/>
    </row>
    <row r="63" spans="1:15" ht="12.75" customHeight="1">
      <c r="A63" s="1" t="s">
        <v>860</v>
      </c>
      <c r="B63" s="1" t="s">
        <v>861</v>
      </c>
      <c r="C63" s="1" t="s">
        <v>507</v>
      </c>
      <c r="D63" s="1" t="s">
        <v>586</v>
      </c>
      <c r="E63" s="13">
        <v>42838</v>
      </c>
      <c r="F63" s="13">
        <v>42853</v>
      </c>
      <c r="G63" s="1"/>
      <c r="H63" s="13">
        <v>42844</v>
      </c>
      <c r="I63" s="1">
        <v>45.25</v>
      </c>
      <c r="J63" s="1">
        <v>45.25</v>
      </c>
      <c r="K63" s="1">
        <v>0</v>
      </c>
      <c r="L63" s="1"/>
      <c r="M63" s="1" t="s">
        <v>500</v>
      </c>
      <c r="N63" s="1" t="s">
        <v>496</v>
      </c>
      <c r="O63" s="2"/>
    </row>
    <row r="64" spans="1:15" ht="12.75" customHeight="1">
      <c r="A64" s="1" t="s">
        <v>862</v>
      </c>
      <c r="B64" s="1" t="s">
        <v>863</v>
      </c>
      <c r="C64" s="1" t="s">
        <v>507</v>
      </c>
      <c r="D64" s="1" t="s">
        <v>571</v>
      </c>
      <c r="E64" s="13">
        <v>42838</v>
      </c>
      <c r="F64" s="13">
        <v>42853</v>
      </c>
      <c r="G64" s="1"/>
      <c r="H64" s="13">
        <v>42844</v>
      </c>
      <c r="I64" s="1">
        <v>56.03</v>
      </c>
      <c r="J64" s="1">
        <v>56.03</v>
      </c>
      <c r="K64" s="1">
        <v>0</v>
      </c>
      <c r="L64" s="1"/>
      <c r="M64" s="1" t="s">
        <v>500</v>
      </c>
      <c r="N64" s="1" t="s">
        <v>496</v>
      </c>
      <c r="O64" s="2"/>
    </row>
    <row r="65" spans="1:15" ht="12.75" customHeight="1">
      <c r="A65" s="1" t="s">
        <v>864</v>
      </c>
      <c r="B65" s="1" t="s">
        <v>865</v>
      </c>
      <c r="C65" s="1" t="s">
        <v>507</v>
      </c>
      <c r="D65" s="1" t="s">
        <v>571</v>
      </c>
      <c r="E65" s="13">
        <v>42838</v>
      </c>
      <c r="F65" s="13">
        <v>42853</v>
      </c>
      <c r="G65" s="1"/>
      <c r="H65" s="13">
        <v>42844</v>
      </c>
      <c r="I65" s="1">
        <v>56.03</v>
      </c>
      <c r="J65" s="1">
        <v>56.03</v>
      </c>
      <c r="K65" s="1">
        <v>0</v>
      </c>
      <c r="L65" s="1"/>
      <c r="M65" s="1" t="s">
        <v>500</v>
      </c>
      <c r="N65" s="1" t="s">
        <v>496</v>
      </c>
      <c r="O65" s="2"/>
    </row>
    <row r="66" spans="1:15" ht="12.75" customHeight="1">
      <c r="A66" s="1" t="s">
        <v>866</v>
      </c>
      <c r="B66" s="1" t="s">
        <v>867</v>
      </c>
      <c r="C66" s="1" t="s">
        <v>507</v>
      </c>
      <c r="D66" s="1" t="s">
        <v>721</v>
      </c>
      <c r="E66" s="13">
        <v>42838</v>
      </c>
      <c r="F66" s="13">
        <v>42853</v>
      </c>
      <c r="G66" s="1"/>
      <c r="H66" s="13">
        <v>42836</v>
      </c>
      <c r="I66" s="1">
        <v>2552.52</v>
      </c>
      <c r="J66" s="1">
        <v>2552.52</v>
      </c>
      <c r="K66" s="1">
        <v>0</v>
      </c>
      <c r="L66" s="1"/>
      <c r="M66" s="1" t="s">
        <v>500</v>
      </c>
      <c r="N66" s="1" t="s">
        <v>496</v>
      </c>
      <c r="O66" s="2"/>
    </row>
    <row r="67" spans="1:15" ht="12.75" customHeight="1">
      <c r="A67" s="1" t="s">
        <v>868</v>
      </c>
      <c r="B67" s="1" t="s">
        <v>869</v>
      </c>
      <c r="C67" s="1" t="s">
        <v>507</v>
      </c>
      <c r="D67" s="1" t="s">
        <v>571</v>
      </c>
      <c r="E67" s="13">
        <v>42838</v>
      </c>
      <c r="F67" s="13">
        <v>42853</v>
      </c>
      <c r="G67" s="1"/>
      <c r="H67" s="13">
        <v>42844</v>
      </c>
      <c r="I67" s="1">
        <v>275.21</v>
      </c>
      <c r="J67" s="1">
        <v>275.21</v>
      </c>
      <c r="K67" s="1">
        <v>0</v>
      </c>
      <c r="L67" s="1"/>
      <c r="M67" s="1" t="s">
        <v>500</v>
      </c>
      <c r="N67" s="1" t="s">
        <v>496</v>
      </c>
      <c r="O67" s="2"/>
    </row>
    <row r="68" spans="1:15" ht="12.75" customHeight="1">
      <c r="A68" s="1" t="s">
        <v>870</v>
      </c>
      <c r="B68" s="1" t="s">
        <v>871</v>
      </c>
      <c r="C68" s="1" t="s">
        <v>507</v>
      </c>
      <c r="D68" s="1" t="s">
        <v>721</v>
      </c>
      <c r="E68" s="13">
        <v>42838</v>
      </c>
      <c r="F68" s="13">
        <v>42853</v>
      </c>
      <c r="G68" s="1"/>
      <c r="H68" s="1"/>
      <c r="I68" s="1">
        <v>0</v>
      </c>
      <c r="J68" s="1">
        <v>0</v>
      </c>
      <c r="K68" s="1">
        <v>0</v>
      </c>
      <c r="L68" s="1"/>
      <c r="M68" s="1" t="s">
        <v>500</v>
      </c>
      <c r="N68" s="1" t="s">
        <v>496</v>
      </c>
      <c r="O68" s="2"/>
    </row>
    <row r="69" spans="1:15" ht="12.75" customHeight="1">
      <c r="A69" s="1" t="s">
        <v>872</v>
      </c>
      <c r="B69" s="1" t="s">
        <v>873</v>
      </c>
      <c r="C69" s="1" t="s">
        <v>507</v>
      </c>
      <c r="D69" s="1" t="s">
        <v>732</v>
      </c>
      <c r="E69" s="13">
        <v>42838</v>
      </c>
      <c r="F69" s="13">
        <v>42853</v>
      </c>
      <c r="G69" s="1"/>
      <c r="H69" s="13">
        <v>42844</v>
      </c>
      <c r="I69" s="1">
        <v>86.19</v>
      </c>
      <c r="J69" s="1">
        <v>86.19</v>
      </c>
      <c r="K69" s="1">
        <v>0</v>
      </c>
      <c r="L69" s="1"/>
      <c r="M69" s="1" t="s">
        <v>500</v>
      </c>
      <c r="N69" s="1" t="s">
        <v>496</v>
      </c>
      <c r="O69" s="2"/>
    </row>
    <row r="70" spans="1:15" ht="12.75" customHeight="1">
      <c r="A70" s="1" t="s">
        <v>874</v>
      </c>
      <c r="B70" s="1" t="s">
        <v>875</v>
      </c>
      <c r="C70" s="1" t="s">
        <v>507</v>
      </c>
      <c r="D70" s="1" t="s">
        <v>720</v>
      </c>
      <c r="E70" s="13">
        <v>42838</v>
      </c>
      <c r="F70" s="13">
        <v>42853</v>
      </c>
      <c r="G70" s="1"/>
      <c r="H70" s="13">
        <v>42844</v>
      </c>
      <c r="I70" s="1">
        <v>128.21</v>
      </c>
      <c r="J70" s="1">
        <v>128.21</v>
      </c>
      <c r="K70" s="1">
        <v>0</v>
      </c>
      <c r="L70" s="1"/>
      <c r="M70" s="1" t="s">
        <v>500</v>
      </c>
      <c r="N70" s="1" t="s">
        <v>496</v>
      </c>
      <c r="O70" s="2"/>
    </row>
    <row r="71" spans="1:15" ht="12.75" customHeight="1">
      <c r="A71" s="1" t="s">
        <v>876</v>
      </c>
      <c r="B71" s="1" t="s">
        <v>877</v>
      </c>
      <c r="C71" s="1" t="s">
        <v>507</v>
      </c>
      <c r="D71" s="1" t="s">
        <v>436</v>
      </c>
      <c r="E71" s="13">
        <v>42838</v>
      </c>
      <c r="F71" s="13">
        <v>42853</v>
      </c>
      <c r="G71" s="1"/>
      <c r="H71" s="13">
        <v>42845</v>
      </c>
      <c r="I71" s="1">
        <v>106.45</v>
      </c>
      <c r="J71" s="1">
        <v>106.45</v>
      </c>
      <c r="K71" s="1">
        <v>0</v>
      </c>
      <c r="L71" s="1"/>
      <c r="M71" s="1" t="s">
        <v>500</v>
      </c>
      <c r="N71" s="1" t="s">
        <v>496</v>
      </c>
      <c r="O71" s="2"/>
    </row>
    <row r="72" spans="1:15" ht="12.75" customHeight="1">
      <c r="A72" s="1" t="s">
        <v>878</v>
      </c>
      <c r="B72" s="1" t="s">
        <v>879</v>
      </c>
      <c r="C72" s="1" t="s">
        <v>507</v>
      </c>
      <c r="D72" s="1" t="s">
        <v>106</v>
      </c>
      <c r="E72" s="13">
        <v>42842</v>
      </c>
      <c r="F72" s="13">
        <v>42870</v>
      </c>
      <c r="G72" s="1"/>
      <c r="H72" s="1"/>
      <c r="I72" s="1">
        <v>753.68</v>
      </c>
      <c r="J72" s="1">
        <v>0</v>
      </c>
      <c r="K72" s="1">
        <v>753.68</v>
      </c>
      <c r="L72" s="1"/>
      <c r="M72" s="1" t="s">
        <v>500</v>
      </c>
      <c r="N72" s="1" t="s">
        <v>506</v>
      </c>
      <c r="O72" s="2"/>
    </row>
    <row r="73" spans="1:15" ht="12.75" customHeight="1">
      <c r="A73" s="1" t="s">
        <v>880</v>
      </c>
      <c r="B73" s="1" t="s">
        <v>881</v>
      </c>
      <c r="C73" s="1" t="s">
        <v>507</v>
      </c>
      <c r="D73" s="1" t="s">
        <v>100</v>
      </c>
      <c r="E73" s="13">
        <v>42842</v>
      </c>
      <c r="F73" s="13">
        <v>42871</v>
      </c>
      <c r="G73" s="1"/>
      <c r="H73" s="1"/>
      <c r="I73" s="1">
        <v>2138.63</v>
      </c>
      <c r="J73" s="1">
        <v>0</v>
      </c>
      <c r="K73" s="1">
        <v>2138.63</v>
      </c>
      <c r="L73" s="1"/>
      <c r="M73" s="1" t="s">
        <v>500</v>
      </c>
      <c r="N73" s="1" t="s">
        <v>506</v>
      </c>
      <c r="O73" s="2"/>
    </row>
    <row r="74" spans="1:15" ht="12.75" customHeight="1">
      <c r="A74" s="1" t="s">
        <v>882</v>
      </c>
      <c r="B74" s="1" t="s">
        <v>883</v>
      </c>
      <c r="C74" s="1" t="s">
        <v>507</v>
      </c>
      <c r="D74" s="1" t="s">
        <v>99</v>
      </c>
      <c r="E74" s="13">
        <v>42842</v>
      </c>
      <c r="F74" s="13">
        <v>42871</v>
      </c>
      <c r="G74" s="1"/>
      <c r="H74" s="1"/>
      <c r="I74" s="1">
        <v>2034.01</v>
      </c>
      <c r="J74" s="1">
        <v>0</v>
      </c>
      <c r="K74" s="1">
        <v>2034.01</v>
      </c>
      <c r="L74" s="1"/>
      <c r="M74" s="1" t="s">
        <v>500</v>
      </c>
      <c r="N74" s="1" t="s">
        <v>506</v>
      </c>
      <c r="O74" s="2"/>
    </row>
    <row r="75" spans="1:15" ht="12.75" customHeight="1">
      <c r="A75" s="1" t="s">
        <v>884</v>
      </c>
      <c r="B75" s="1" t="s">
        <v>885</v>
      </c>
      <c r="C75" s="1" t="s">
        <v>507</v>
      </c>
      <c r="D75" s="1" t="s">
        <v>372</v>
      </c>
      <c r="E75" s="13">
        <v>42842</v>
      </c>
      <c r="F75" s="13">
        <v>42857</v>
      </c>
      <c r="G75" s="1"/>
      <c r="H75" s="13">
        <v>42845</v>
      </c>
      <c r="I75" s="1">
        <v>184.71</v>
      </c>
      <c r="J75" s="1">
        <v>184.71</v>
      </c>
      <c r="K75" s="1">
        <v>0</v>
      </c>
      <c r="L75" s="1"/>
      <c r="M75" s="1" t="s">
        <v>500</v>
      </c>
      <c r="N75" s="1" t="s">
        <v>496</v>
      </c>
      <c r="O75" s="2"/>
    </row>
    <row r="76" spans="1:15" ht="12.75" customHeight="1">
      <c r="A76" s="1" t="s">
        <v>886</v>
      </c>
      <c r="B76" s="1" t="s">
        <v>887</v>
      </c>
      <c r="C76" s="1" t="s">
        <v>507</v>
      </c>
      <c r="D76" s="1" t="s">
        <v>105</v>
      </c>
      <c r="E76" s="13">
        <v>42842</v>
      </c>
      <c r="F76" s="13">
        <v>42871</v>
      </c>
      <c r="G76" s="1"/>
      <c r="H76" s="13">
        <v>42863</v>
      </c>
      <c r="I76" s="1">
        <v>65.84</v>
      </c>
      <c r="J76" s="1">
        <v>65.84</v>
      </c>
      <c r="K76" s="1">
        <v>0</v>
      </c>
      <c r="L76" s="1"/>
      <c r="M76" s="1" t="s">
        <v>500</v>
      </c>
      <c r="N76" s="1" t="s">
        <v>496</v>
      </c>
      <c r="O76" s="2"/>
    </row>
    <row r="77" spans="1:15" ht="12.75" customHeight="1">
      <c r="A77" s="1" t="s">
        <v>888</v>
      </c>
      <c r="B77" s="1" t="s">
        <v>889</v>
      </c>
      <c r="C77" s="1" t="s">
        <v>507</v>
      </c>
      <c r="D77" s="1" t="s">
        <v>439</v>
      </c>
      <c r="E77" s="13">
        <v>42842</v>
      </c>
      <c r="F77" s="13">
        <v>42870</v>
      </c>
      <c r="G77" s="1"/>
      <c r="H77" s="1"/>
      <c r="I77" s="1">
        <v>1462.18</v>
      </c>
      <c r="J77" s="1">
        <v>0</v>
      </c>
      <c r="K77" s="1">
        <v>1462.18</v>
      </c>
      <c r="L77" s="1"/>
      <c r="M77" s="1" t="s">
        <v>500</v>
      </c>
      <c r="N77" s="1" t="s">
        <v>506</v>
      </c>
      <c r="O77" s="2"/>
    </row>
    <row r="78" spans="1:15" ht="12.75" customHeight="1">
      <c r="A78" s="1" t="s">
        <v>890</v>
      </c>
      <c r="B78" s="1" t="s">
        <v>891</v>
      </c>
      <c r="C78" s="1" t="s">
        <v>507</v>
      </c>
      <c r="D78" s="1" t="s">
        <v>554</v>
      </c>
      <c r="E78" s="13">
        <v>42842</v>
      </c>
      <c r="F78" s="13">
        <v>42857</v>
      </c>
      <c r="G78" s="1"/>
      <c r="H78" s="13">
        <v>42845</v>
      </c>
      <c r="I78" s="1">
        <v>402.65</v>
      </c>
      <c r="J78" s="1">
        <v>402.65</v>
      </c>
      <c r="K78" s="1">
        <v>0</v>
      </c>
      <c r="L78" s="1"/>
      <c r="M78" s="1" t="s">
        <v>500</v>
      </c>
      <c r="N78" s="1" t="s">
        <v>496</v>
      </c>
      <c r="O78" s="2"/>
    </row>
    <row r="79" spans="1:15" ht="12.75" customHeight="1">
      <c r="A79" s="1" t="s">
        <v>892</v>
      </c>
      <c r="B79" s="1" t="s">
        <v>747</v>
      </c>
      <c r="C79" s="1" t="s">
        <v>507</v>
      </c>
      <c r="D79" s="1" t="s">
        <v>395</v>
      </c>
      <c r="E79" s="13">
        <v>42842</v>
      </c>
      <c r="F79" s="13">
        <v>42857</v>
      </c>
      <c r="G79" s="1"/>
      <c r="H79" s="13">
        <v>42845</v>
      </c>
      <c r="I79" s="1">
        <v>100.97</v>
      </c>
      <c r="J79" s="1">
        <v>100.97</v>
      </c>
      <c r="K79" s="1">
        <v>0</v>
      </c>
      <c r="L79" s="1"/>
      <c r="M79" s="1" t="s">
        <v>500</v>
      </c>
      <c r="N79" s="1" t="s">
        <v>496</v>
      </c>
      <c r="O79" s="2"/>
    </row>
    <row r="80" spans="1:15" ht="12.75" customHeight="1">
      <c r="A80" s="1" t="s">
        <v>893</v>
      </c>
      <c r="B80" s="1" t="s">
        <v>894</v>
      </c>
      <c r="C80" s="1" t="s">
        <v>507</v>
      </c>
      <c r="D80" s="1" t="s">
        <v>277</v>
      </c>
      <c r="E80" s="13">
        <v>42842</v>
      </c>
      <c r="F80" s="13">
        <v>42857</v>
      </c>
      <c r="G80" s="1"/>
      <c r="H80" s="13">
        <v>42845</v>
      </c>
      <c r="I80" s="1">
        <v>40.94</v>
      </c>
      <c r="J80" s="1">
        <v>40.94</v>
      </c>
      <c r="K80" s="1">
        <v>0</v>
      </c>
      <c r="L80" s="1"/>
      <c r="M80" s="1" t="s">
        <v>500</v>
      </c>
      <c r="N80" s="1" t="s">
        <v>496</v>
      </c>
      <c r="O80" s="2"/>
    </row>
    <row r="81" spans="1:15" ht="12.75" customHeight="1">
      <c r="A81" s="1" t="s">
        <v>895</v>
      </c>
      <c r="B81" s="1" t="s">
        <v>896</v>
      </c>
      <c r="C81" s="1" t="s">
        <v>507</v>
      </c>
      <c r="D81" s="1" t="s">
        <v>735</v>
      </c>
      <c r="E81" s="13">
        <v>42842</v>
      </c>
      <c r="F81" s="13">
        <v>42857</v>
      </c>
      <c r="G81" s="1"/>
      <c r="H81" s="13">
        <v>42845</v>
      </c>
      <c r="I81" s="1">
        <v>91.58</v>
      </c>
      <c r="J81" s="1">
        <v>91.58</v>
      </c>
      <c r="K81" s="1">
        <v>0</v>
      </c>
      <c r="L81" s="1"/>
      <c r="M81" s="1" t="s">
        <v>500</v>
      </c>
      <c r="N81" s="1" t="s">
        <v>496</v>
      </c>
      <c r="O81" s="2"/>
    </row>
    <row r="82" spans="1:15" ht="12.75" customHeight="1">
      <c r="A82" s="1" t="s">
        <v>897</v>
      </c>
      <c r="B82" s="1" t="s">
        <v>898</v>
      </c>
      <c r="C82" s="1" t="s">
        <v>507</v>
      </c>
      <c r="D82" s="1" t="s">
        <v>736</v>
      </c>
      <c r="E82" s="13">
        <v>42842</v>
      </c>
      <c r="F82" s="13">
        <v>42857</v>
      </c>
      <c r="G82" s="1"/>
      <c r="H82" s="13">
        <v>42845</v>
      </c>
      <c r="I82" s="1">
        <v>17.96</v>
      </c>
      <c r="J82" s="1">
        <v>17.96</v>
      </c>
      <c r="K82" s="1">
        <v>0</v>
      </c>
      <c r="L82" s="1"/>
      <c r="M82" s="1" t="s">
        <v>500</v>
      </c>
      <c r="N82" s="1" t="s">
        <v>496</v>
      </c>
      <c r="O82" s="2"/>
    </row>
    <row r="83" spans="1:15" ht="12.75" customHeight="1">
      <c r="A83" s="1" t="s">
        <v>899</v>
      </c>
      <c r="B83" s="1" t="s">
        <v>900</v>
      </c>
      <c r="C83" s="1" t="s">
        <v>507</v>
      </c>
      <c r="D83" s="1" t="s">
        <v>343</v>
      </c>
      <c r="E83" s="13">
        <v>42842</v>
      </c>
      <c r="F83" s="13">
        <v>42857</v>
      </c>
      <c r="G83" s="1"/>
      <c r="H83" s="13">
        <v>42845</v>
      </c>
      <c r="I83" s="1">
        <v>135.87</v>
      </c>
      <c r="J83" s="1">
        <v>135.87</v>
      </c>
      <c r="K83" s="1">
        <v>0</v>
      </c>
      <c r="L83" s="1"/>
      <c r="M83" s="1" t="s">
        <v>500</v>
      </c>
      <c r="N83" s="1" t="s">
        <v>496</v>
      </c>
      <c r="O83" s="2"/>
    </row>
    <row r="84" spans="1:15" ht="12.75" customHeight="1">
      <c r="A84" s="1" t="s">
        <v>901</v>
      </c>
      <c r="B84" s="1" t="s">
        <v>902</v>
      </c>
      <c r="C84" s="1" t="s">
        <v>507</v>
      </c>
      <c r="D84" s="1" t="s">
        <v>136</v>
      </c>
      <c r="E84" s="13">
        <v>42842</v>
      </c>
      <c r="F84" s="13">
        <v>42857</v>
      </c>
      <c r="G84" s="1"/>
      <c r="H84" s="13">
        <v>42845</v>
      </c>
      <c r="I84" s="1">
        <v>269.45</v>
      </c>
      <c r="J84" s="1">
        <v>269.45</v>
      </c>
      <c r="K84" s="1">
        <v>0</v>
      </c>
      <c r="L84" s="1"/>
      <c r="M84" s="1" t="s">
        <v>500</v>
      </c>
      <c r="N84" s="1" t="s">
        <v>496</v>
      </c>
      <c r="O84" s="2"/>
    </row>
    <row r="85" spans="1:15" ht="12.75" customHeight="1">
      <c r="A85" s="1" t="s">
        <v>903</v>
      </c>
      <c r="B85" s="1" t="s">
        <v>904</v>
      </c>
      <c r="C85" s="1" t="s">
        <v>507</v>
      </c>
      <c r="D85" s="1" t="s">
        <v>214</v>
      </c>
      <c r="E85" s="13">
        <v>42842</v>
      </c>
      <c r="F85" s="13">
        <v>42857</v>
      </c>
      <c r="G85" s="1"/>
      <c r="H85" s="13">
        <v>42845</v>
      </c>
      <c r="I85" s="1">
        <v>49.68</v>
      </c>
      <c r="J85" s="1">
        <v>49.68</v>
      </c>
      <c r="K85" s="1">
        <v>0</v>
      </c>
      <c r="L85" s="1"/>
      <c r="M85" s="1" t="s">
        <v>500</v>
      </c>
      <c r="N85" s="1" t="s">
        <v>496</v>
      </c>
      <c r="O85" s="2"/>
    </row>
    <row r="86" spans="1:15" ht="12.75" customHeight="1">
      <c r="A86" s="1" t="s">
        <v>905</v>
      </c>
      <c r="B86" s="1" t="s">
        <v>906</v>
      </c>
      <c r="C86" s="1" t="s">
        <v>507</v>
      </c>
      <c r="D86" s="1" t="s">
        <v>98</v>
      </c>
      <c r="E86" s="13">
        <v>42842</v>
      </c>
      <c r="F86" s="13">
        <v>42871</v>
      </c>
      <c r="G86" s="1"/>
      <c r="H86" s="1"/>
      <c r="I86" s="1">
        <v>8889.23</v>
      </c>
      <c r="J86" s="1">
        <v>0</v>
      </c>
      <c r="K86" s="1">
        <v>8889.23</v>
      </c>
      <c r="L86" s="1"/>
      <c r="M86" s="1" t="s">
        <v>500</v>
      </c>
      <c r="N86" s="1" t="s">
        <v>506</v>
      </c>
      <c r="O86" s="2"/>
    </row>
    <row r="87" spans="1:15" ht="12.75" customHeight="1">
      <c r="A87" s="1" t="s">
        <v>907</v>
      </c>
      <c r="B87" s="1" t="s">
        <v>908</v>
      </c>
      <c r="C87" s="1" t="s">
        <v>507</v>
      </c>
      <c r="D87" s="1" t="s">
        <v>702</v>
      </c>
      <c r="E87" s="13">
        <v>42844</v>
      </c>
      <c r="F87" s="13">
        <v>42859</v>
      </c>
      <c r="G87" s="1"/>
      <c r="H87" s="1"/>
      <c r="I87" s="1">
        <v>0</v>
      </c>
      <c r="J87" s="1">
        <v>0</v>
      </c>
      <c r="K87" s="1">
        <v>0</v>
      </c>
      <c r="L87" s="1"/>
      <c r="M87" s="1" t="s">
        <v>500</v>
      </c>
      <c r="N87" s="1" t="s">
        <v>496</v>
      </c>
      <c r="O87" s="2"/>
    </row>
    <row r="88" spans="1:15" ht="12.75" customHeight="1">
      <c r="A88" s="1" t="s">
        <v>909</v>
      </c>
      <c r="B88" s="1" t="s">
        <v>910</v>
      </c>
      <c r="C88" s="1" t="s">
        <v>507</v>
      </c>
      <c r="D88" s="1" t="s">
        <v>723</v>
      </c>
      <c r="E88" s="13">
        <v>42844</v>
      </c>
      <c r="F88" s="13">
        <v>42859</v>
      </c>
      <c r="G88" s="1"/>
      <c r="H88" s="13">
        <v>42846</v>
      </c>
      <c r="I88" s="1">
        <v>79.73</v>
      </c>
      <c r="J88" s="1">
        <v>79.73</v>
      </c>
      <c r="K88" s="1">
        <v>0</v>
      </c>
      <c r="L88" s="1"/>
      <c r="M88" s="1" t="s">
        <v>500</v>
      </c>
      <c r="N88" s="1" t="s">
        <v>496</v>
      </c>
      <c r="O88" s="2"/>
    </row>
    <row r="89" spans="1:15" ht="12.75" customHeight="1">
      <c r="A89" s="1" t="s">
        <v>911</v>
      </c>
      <c r="B89" s="1" t="s">
        <v>912</v>
      </c>
      <c r="C89" s="1" t="s">
        <v>507</v>
      </c>
      <c r="D89" s="1" t="s">
        <v>136</v>
      </c>
      <c r="E89" s="13">
        <v>42844</v>
      </c>
      <c r="F89" s="13">
        <v>42859</v>
      </c>
      <c r="G89" s="1"/>
      <c r="H89" s="13">
        <v>42846</v>
      </c>
      <c r="I89" s="1">
        <v>46.22</v>
      </c>
      <c r="J89" s="1">
        <v>46.22</v>
      </c>
      <c r="K89" s="1">
        <v>0</v>
      </c>
      <c r="L89" s="1"/>
      <c r="M89" s="1" t="s">
        <v>500</v>
      </c>
      <c r="N89" s="1" t="s">
        <v>496</v>
      </c>
      <c r="O89" s="2"/>
    </row>
    <row r="90" spans="1:15" ht="12.75" customHeight="1">
      <c r="A90" s="1" t="s">
        <v>913</v>
      </c>
      <c r="B90" s="1" t="s">
        <v>914</v>
      </c>
      <c r="C90" s="1" t="s">
        <v>507</v>
      </c>
      <c r="D90" s="1" t="s">
        <v>193</v>
      </c>
      <c r="E90" s="13">
        <v>42844</v>
      </c>
      <c r="F90" s="13">
        <v>42859</v>
      </c>
      <c r="G90" s="1"/>
      <c r="H90" s="13">
        <v>42846</v>
      </c>
      <c r="I90" s="1">
        <v>558.87</v>
      </c>
      <c r="J90" s="1">
        <v>558.87</v>
      </c>
      <c r="K90" s="1">
        <v>0</v>
      </c>
      <c r="L90" s="1"/>
      <c r="M90" s="1" t="s">
        <v>500</v>
      </c>
      <c r="N90" s="1" t="s">
        <v>496</v>
      </c>
      <c r="O90" s="2"/>
    </row>
    <row r="91" spans="1:15" ht="12.75" customHeight="1">
      <c r="A91" s="1" t="s">
        <v>915</v>
      </c>
      <c r="B91" s="1" t="s">
        <v>916</v>
      </c>
      <c r="C91" s="1" t="s">
        <v>507</v>
      </c>
      <c r="D91" s="1" t="s">
        <v>281</v>
      </c>
      <c r="E91" s="13">
        <v>42844</v>
      </c>
      <c r="F91" s="13">
        <v>42859</v>
      </c>
      <c r="G91" s="1"/>
      <c r="H91" s="13">
        <v>42846</v>
      </c>
      <c r="I91" s="1">
        <v>56.03</v>
      </c>
      <c r="J91" s="1">
        <v>56.03</v>
      </c>
      <c r="K91" s="1">
        <v>0</v>
      </c>
      <c r="L91" s="1"/>
      <c r="M91" s="1" t="s">
        <v>500</v>
      </c>
      <c r="N91" s="1" t="s">
        <v>496</v>
      </c>
      <c r="O91" s="2"/>
    </row>
    <row r="92" spans="1:15" ht="12.75" customHeight="1">
      <c r="A92" s="1" t="s">
        <v>917</v>
      </c>
      <c r="B92" s="1" t="s">
        <v>918</v>
      </c>
      <c r="C92" s="1" t="s">
        <v>507</v>
      </c>
      <c r="D92" s="1" t="s">
        <v>141</v>
      </c>
      <c r="E92" s="13">
        <v>42844</v>
      </c>
      <c r="F92" s="13">
        <v>42859</v>
      </c>
      <c r="G92" s="1"/>
      <c r="H92" s="1"/>
      <c r="I92" s="1">
        <v>0</v>
      </c>
      <c r="J92" s="1">
        <v>0</v>
      </c>
      <c r="K92" s="1">
        <v>0</v>
      </c>
      <c r="L92" s="1"/>
      <c r="M92" s="1" t="s">
        <v>500</v>
      </c>
      <c r="N92" s="1" t="s">
        <v>496</v>
      </c>
      <c r="O92" s="2"/>
    </row>
    <row r="93" spans="1:15" ht="12.75" customHeight="1">
      <c r="A93" s="1" t="s">
        <v>919</v>
      </c>
      <c r="B93" s="1" t="s">
        <v>920</v>
      </c>
      <c r="C93" s="1" t="s">
        <v>507</v>
      </c>
      <c r="D93" s="1" t="s">
        <v>545</v>
      </c>
      <c r="E93" s="13">
        <v>42844</v>
      </c>
      <c r="F93" s="13">
        <v>42859</v>
      </c>
      <c r="G93" s="1"/>
      <c r="H93" s="13">
        <v>42846</v>
      </c>
      <c r="I93" s="1">
        <v>492.61</v>
      </c>
      <c r="J93" s="1">
        <v>492.61</v>
      </c>
      <c r="K93" s="1">
        <v>0</v>
      </c>
      <c r="L93" s="1"/>
      <c r="M93" s="1" t="s">
        <v>500</v>
      </c>
      <c r="N93" s="1" t="s">
        <v>496</v>
      </c>
      <c r="O93" s="2"/>
    </row>
    <row r="94" spans="1:15" ht="12.75" customHeight="1">
      <c r="A94" s="1" t="s">
        <v>921</v>
      </c>
      <c r="B94" s="1" t="s">
        <v>922</v>
      </c>
      <c r="C94" s="1" t="s">
        <v>507</v>
      </c>
      <c r="D94" s="1" t="s">
        <v>265</v>
      </c>
      <c r="E94" s="13">
        <v>42844</v>
      </c>
      <c r="F94" s="13">
        <v>42870</v>
      </c>
      <c r="G94" s="1"/>
      <c r="H94" s="1"/>
      <c r="I94" s="1">
        <v>606.03</v>
      </c>
      <c r="J94" s="1">
        <v>0</v>
      </c>
      <c r="K94" s="1">
        <v>606.03</v>
      </c>
      <c r="L94" s="1"/>
      <c r="M94" s="1" t="s">
        <v>500</v>
      </c>
      <c r="N94" s="1" t="s">
        <v>506</v>
      </c>
      <c r="O94" s="2"/>
    </row>
    <row r="95" spans="1:15" ht="12.75" customHeight="1">
      <c r="A95" s="1" t="s">
        <v>923</v>
      </c>
      <c r="B95" s="1" t="s">
        <v>924</v>
      </c>
      <c r="C95" s="1" t="s">
        <v>507</v>
      </c>
      <c r="D95" s="1" t="s">
        <v>550</v>
      </c>
      <c r="E95" s="13">
        <v>42844</v>
      </c>
      <c r="F95" s="13">
        <v>42859</v>
      </c>
      <c r="G95" s="1"/>
      <c r="H95" s="13">
        <v>42849</v>
      </c>
      <c r="I95" s="1">
        <v>260.07</v>
      </c>
      <c r="J95" s="1">
        <v>260.07</v>
      </c>
      <c r="K95" s="1">
        <v>0</v>
      </c>
      <c r="L95" s="1"/>
      <c r="M95" s="1" t="s">
        <v>500</v>
      </c>
      <c r="N95" s="1" t="s">
        <v>496</v>
      </c>
      <c r="O95" s="2"/>
    </row>
    <row r="96" spans="1:15" ht="12.75" customHeight="1">
      <c r="A96" s="1" t="s">
        <v>925</v>
      </c>
      <c r="B96" s="1" t="s">
        <v>926</v>
      </c>
      <c r="C96" s="1" t="s">
        <v>507</v>
      </c>
      <c r="D96" s="1" t="s">
        <v>538</v>
      </c>
      <c r="E96" s="13">
        <v>42845</v>
      </c>
      <c r="F96" s="13">
        <v>42860</v>
      </c>
      <c r="G96" s="1"/>
      <c r="H96" s="13">
        <v>42849</v>
      </c>
      <c r="I96" s="1">
        <v>137.95</v>
      </c>
      <c r="J96" s="1">
        <v>137.95</v>
      </c>
      <c r="K96" s="1">
        <v>0</v>
      </c>
      <c r="L96" s="1"/>
      <c r="M96" s="1" t="s">
        <v>500</v>
      </c>
      <c r="N96" s="1" t="s">
        <v>496</v>
      </c>
      <c r="O96" s="2"/>
    </row>
    <row r="97" spans="1:15" ht="12.75" customHeight="1">
      <c r="A97" s="1" t="s">
        <v>927</v>
      </c>
      <c r="B97" s="1" t="s">
        <v>928</v>
      </c>
      <c r="C97" s="1" t="s">
        <v>507</v>
      </c>
      <c r="D97" s="1" t="s">
        <v>355</v>
      </c>
      <c r="E97" s="13">
        <v>42845</v>
      </c>
      <c r="F97" s="13">
        <v>42860</v>
      </c>
      <c r="G97" s="1"/>
      <c r="H97" s="13">
        <v>42849</v>
      </c>
      <c r="I97" s="1">
        <v>87.27</v>
      </c>
      <c r="J97" s="1">
        <v>87.27</v>
      </c>
      <c r="K97" s="1">
        <v>0</v>
      </c>
      <c r="L97" s="1"/>
      <c r="M97" s="1" t="s">
        <v>500</v>
      </c>
      <c r="N97" s="1" t="s">
        <v>496</v>
      </c>
      <c r="O97" s="2"/>
    </row>
    <row r="98" spans="1:15" ht="12.75" customHeight="1">
      <c r="A98" s="1" t="s">
        <v>929</v>
      </c>
      <c r="B98" s="1" t="s">
        <v>930</v>
      </c>
      <c r="C98" s="1" t="s">
        <v>507</v>
      </c>
      <c r="D98" s="1" t="s">
        <v>113</v>
      </c>
      <c r="E98" s="13">
        <v>42845</v>
      </c>
      <c r="F98" s="13">
        <v>42870</v>
      </c>
      <c r="G98" s="1"/>
      <c r="H98" s="1"/>
      <c r="I98" s="1">
        <v>32.92</v>
      </c>
      <c r="J98" s="1">
        <v>0</v>
      </c>
      <c r="K98" s="1">
        <v>32.92</v>
      </c>
      <c r="L98" s="1"/>
      <c r="M98" s="1" t="s">
        <v>498</v>
      </c>
      <c r="N98" s="1" t="s">
        <v>506</v>
      </c>
      <c r="O98" s="2"/>
    </row>
    <row r="99" spans="1:15" ht="12.75" customHeight="1">
      <c r="A99" s="1" t="s">
        <v>931</v>
      </c>
      <c r="B99" s="1" t="s">
        <v>932</v>
      </c>
      <c r="C99" s="1" t="s">
        <v>507</v>
      </c>
      <c r="D99" s="1" t="s">
        <v>728</v>
      </c>
      <c r="E99" s="13">
        <v>42845</v>
      </c>
      <c r="F99" s="13">
        <v>42860</v>
      </c>
      <c r="G99" s="1"/>
      <c r="H99" s="13">
        <v>42850</v>
      </c>
      <c r="I99" s="1">
        <v>45.47</v>
      </c>
      <c r="J99" s="1">
        <v>45.47</v>
      </c>
      <c r="K99" s="1">
        <v>0</v>
      </c>
      <c r="L99" s="1"/>
      <c r="M99" s="1" t="s">
        <v>500</v>
      </c>
      <c r="N99" s="1" t="s">
        <v>496</v>
      </c>
      <c r="O99" s="2"/>
    </row>
    <row r="100" spans="1:15" ht="12.75" customHeight="1">
      <c r="A100" s="1" t="s">
        <v>933</v>
      </c>
      <c r="B100" s="1" t="s">
        <v>934</v>
      </c>
      <c r="C100" s="1" t="s">
        <v>507</v>
      </c>
      <c r="D100" s="1" t="s">
        <v>206</v>
      </c>
      <c r="E100" s="13">
        <v>42845</v>
      </c>
      <c r="F100" s="13">
        <v>42860</v>
      </c>
      <c r="G100" s="1"/>
      <c r="H100" s="13">
        <v>42850</v>
      </c>
      <c r="I100" s="1">
        <v>261.92</v>
      </c>
      <c r="J100" s="1">
        <v>261.92</v>
      </c>
      <c r="K100" s="1">
        <v>0</v>
      </c>
      <c r="L100" s="1"/>
      <c r="M100" s="1" t="s">
        <v>500</v>
      </c>
      <c r="N100" s="1" t="s">
        <v>496</v>
      </c>
      <c r="O100" s="2"/>
    </row>
    <row r="101" spans="1:15" ht="12.75" customHeight="1">
      <c r="A101" s="1" t="s">
        <v>935</v>
      </c>
      <c r="B101" s="1" t="s">
        <v>936</v>
      </c>
      <c r="C101" s="1" t="s">
        <v>507</v>
      </c>
      <c r="D101" s="1" t="s">
        <v>378</v>
      </c>
      <c r="E101" s="13">
        <v>42845</v>
      </c>
      <c r="F101" s="13">
        <v>42870</v>
      </c>
      <c r="G101" s="1"/>
      <c r="H101" s="1"/>
      <c r="I101" s="1">
        <v>46.22</v>
      </c>
      <c r="J101" s="1">
        <v>0</v>
      </c>
      <c r="K101" s="1">
        <v>46.22</v>
      </c>
      <c r="L101" s="1"/>
      <c r="M101" s="1" t="s">
        <v>500</v>
      </c>
      <c r="N101" s="1" t="s">
        <v>506</v>
      </c>
      <c r="O101" s="2"/>
    </row>
    <row r="102" spans="1:15" ht="12.75" customHeight="1">
      <c r="A102" s="1" t="s">
        <v>937</v>
      </c>
      <c r="B102" s="1" t="s">
        <v>938</v>
      </c>
      <c r="C102" s="1" t="s">
        <v>507</v>
      </c>
      <c r="D102" s="1" t="s">
        <v>162</v>
      </c>
      <c r="E102" s="13">
        <v>42845</v>
      </c>
      <c r="F102" s="13">
        <v>42860</v>
      </c>
      <c r="G102" s="1"/>
      <c r="H102" s="13">
        <v>42850</v>
      </c>
      <c r="I102" s="1">
        <v>1321.59</v>
      </c>
      <c r="J102" s="1">
        <v>1321.59</v>
      </c>
      <c r="K102" s="1">
        <v>0</v>
      </c>
      <c r="L102" s="1"/>
      <c r="M102" s="1" t="s">
        <v>500</v>
      </c>
      <c r="N102" s="1" t="s">
        <v>496</v>
      </c>
      <c r="O102" s="2"/>
    </row>
    <row r="103" spans="1:15" ht="12.75" customHeight="1">
      <c r="A103" s="1" t="s">
        <v>939</v>
      </c>
      <c r="B103" s="1" t="s">
        <v>940</v>
      </c>
      <c r="C103" s="1" t="s">
        <v>507</v>
      </c>
      <c r="D103" s="1" t="s">
        <v>354</v>
      </c>
      <c r="E103" s="13">
        <v>42845</v>
      </c>
      <c r="F103" s="13">
        <v>42859</v>
      </c>
      <c r="G103" s="1"/>
      <c r="H103" s="1"/>
      <c r="I103" s="1">
        <v>24.89</v>
      </c>
      <c r="J103" s="1">
        <v>0</v>
      </c>
      <c r="K103" s="1">
        <v>24.89</v>
      </c>
      <c r="L103" s="1"/>
      <c r="M103" s="1" t="s">
        <v>500</v>
      </c>
      <c r="N103" s="1" t="s">
        <v>506</v>
      </c>
      <c r="O103" s="2"/>
    </row>
    <row r="104" spans="1:15" ht="12.75" customHeight="1">
      <c r="A104" s="1" t="s">
        <v>941</v>
      </c>
      <c r="B104" s="1" t="s">
        <v>942</v>
      </c>
      <c r="C104" s="1" t="s">
        <v>507</v>
      </c>
      <c r="D104" s="1" t="s">
        <v>354</v>
      </c>
      <c r="E104" s="13">
        <v>42845</v>
      </c>
      <c r="F104" s="13">
        <v>42859</v>
      </c>
      <c r="G104" s="1"/>
      <c r="H104" s="1"/>
      <c r="I104" s="1">
        <v>24.89</v>
      </c>
      <c r="J104" s="1">
        <v>0</v>
      </c>
      <c r="K104" s="1">
        <v>24.89</v>
      </c>
      <c r="L104" s="1"/>
      <c r="M104" s="1" t="s">
        <v>500</v>
      </c>
      <c r="N104" s="1" t="s">
        <v>506</v>
      </c>
      <c r="O104" s="2"/>
    </row>
    <row r="105" spans="1:15" ht="12.75" customHeight="1">
      <c r="A105" s="1" t="s">
        <v>943</v>
      </c>
      <c r="B105" s="1" t="s">
        <v>944</v>
      </c>
      <c r="C105" s="1" t="s">
        <v>507</v>
      </c>
      <c r="D105" s="1" t="s">
        <v>610</v>
      </c>
      <c r="E105" s="13">
        <v>42845</v>
      </c>
      <c r="F105" s="13">
        <v>42860</v>
      </c>
      <c r="G105" s="1"/>
      <c r="H105" s="1"/>
      <c r="I105" s="1">
        <v>163.94</v>
      </c>
      <c r="J105" s="1">
        <v>0</v>
      </c>
      <c r="K105" s="1">
        <v>163.94</v>
      </c>
      <c r="L105" s="1"/>
      <c r="M105" s="1" t="s">
        <v>500</v>
      </c>
      <c r="N105" s="1" t="s">
        <v>506</v>
      </c>
      <c r="O105" s="2"/>
    </row>
    <row r="106" spans="1:15" ht="12.75" customHeight="1">
      <c r="A106" s="1" t="s">
        <v>945</v>
      </c>
      <c r="B106" s="1" t="s">
        <v>946</v>
      </c>
      <c r="C106" s="1" t="s">
        <v>507</v>
      </c>
      <c r="D106" s="1" t="s">
        <v>571</v>
      </c>
      <c r="E106" s="13">
        <v>42846</v>
      </c>
      <c r="F106" s="13">
        <v>42861</v>
      </c>
      <c r="G106" s="1"/>
      <c r="H106" s="13">
        <v>42850</v>
      </c>
      <c r="I106" s="1">
        <v>493.2</v>
      </c>
      <c r="J106" s="1">
        <v>493.2</v>
      </c>
      <c r="K106" s="1">
        <v>0</v>
      </c>
      <c r="L106" s="1"/>
      <c r="M106" s="1" t="s">
        <v>500</v>
      </c>
      <c r="N106" s="1" t="s">
        <v>496</v>
      </c>
      <c r="O106" s="2"/>
    </row>
    <row r="107" spans="1:15" ht="12.75" customHeight="1">
      <c r="A107" s="1" t="s">
        <v>947</v>
      </c>
      <c r="B107" s="1" t="s">
        <v>948</v>
      </c>
      <c r="C107" s="1" t="s">
        <v>507</v>
      </c>
      <c r="D107" s="1" t="s">
        <v>563</v>
      </c>
      <c r="E107" s="13">
        <v>42846</v>
      </c>
      <c r="F107" s="13">
        <v>42861</v>
      </c>
      <c r="G107" s="1"/>
      <c r="H107" s="13">
        <v>42850</v>
      </c>
      <c r="I107" s="1">
        <v>1106.81</v>
      </c>
      <c r="J107" s="1">
        <v>1106.81</v>
      </c>
      <c r="K107" s="1">
        <v>0</v>
      </c>
      <c r="L107" s="1"/>
      <c r="M107" s="1" t="s">
        <v>500</v>
      </c>
      <c r="N107" s="1" t="s">
        <v>496</v>
      </c>
      <c r="O107" s="2"/>
    </row>
    <row r="108" spans="1:15" ht="12.75" customHeight="1">
      <c r="A108" s="1" t="s">
        <v>949</v>
      </c>
      <c r="B108" s="1" t="s">
        <v>950</v>
      </c>
      <c r="C108" s="1" t="s">
        <v>507</v>
      </c>
      <c r="D108" s="1" t="s">
        <v>108</v>
      </c>
      <c r="E108" s="13">
        <v>42846</v>
      </c>
      <c r="F108" s="13">
        <v>42870</v>
      </c>
      <c r="G108" s="1"/>
      <c r="H108" s="1"/>
      <c r="I108" s="1">
        <v>930.34</v>
      </c>
      <c r="J108" s="1">
        <v>0</v>
      </c>
      <c r="K108" s="1">
        <v>930.34</v>
      </c>
      <c r="L108" s="1"/>
      <c r="M108" s="1" t="s">
        <v>500</v>
      </c>
      <c r="N108" s="1" t="s">
        <v>506</v>
      </c>
      <c r="O108" s="2"/>
    </row>
    <row r="109" spans="1:15" ht="12.75" customHeight="1">
      <c r="A109" s="1" t="s">
        <v>951</v>
      </c>
      <c r="B109" s="1" t="s">
        <v>952</v>
      </c>
      <c r="C109" s="1" t="s">
        <v>507</v>
      </c>
      <c r="D109" s="1" t="s">
        <v>734</v>
      </c>
      <c r="E109" s="13">
        <v>42846</v>
      </c>
      <c r="F109" s="13">
        <v>42861</v>
      </c>
      <c r="G109" s="1"/>
      <c r="H109" s="13">
        <v>42851</v>
      </c>
      <c r="I109" s="1">
        <v>64.65</v>
      </c>
      <c r="J109" s="1">
        <v>64.65</v>
      </c>
      <c r="K109" s="1">
        <v>0</v>
      </c>
      <c r="L109" s="1"/>
      <c r="M109" s="1" t="s">
        <v>500</v>
      </c>
      <c r="N109" s="1" t="s">
        <v>496</v>
      </c>
      <c r="O109" s="2"/>
    </row>
    <row r="110" spans="1:15" ht="12.75" customHeight="1">
      <c r="A110" s="1" t="s">
        <v>953</v>
      </c>
      <c r="B110" s="1" t="s">
        <v>954</v>
      </c>
      <c r="C110" s="1" t="s">
        <v>507</v>
      </c>
      <c r="D110" s="1" t="s">
        <v>702</v>
      </c>
      <c r="E110" s="13">
        <v>42845</v>
      </c>
      <c r="F110" s="13">
        <v>42860</v>
      </c>
      <c r="G110" s="1"/>
      <c r="H110" s="1"/>
      <c r="I110" s="1">
        <v>0</v>
      </c>
      <c r="J110" s="1">
        <v>0</v>
      </c>
      <c r="K110" s="1">
        <v>0</v>
      </c>
      <c r="L110" s="1"/>
      <c r="M110" s="1" t="s">
        <v>500</v>
      </c>
      <c r="N110" s="1" t="s">
        <v>496</v>
      </c>
      <c r="O110" s="2"/>
    </row>
    <row r="111" spans="1:15" ht="12.75" customHeight="1">
      <c r="A111" s="1" t="s">
        <v>955</v>
      </c>
      <c r="B111" s="1" t="s">
        <v>956</v>
      </c>
      <c r="C111" s="1" t="s">
        <v>507</v>
      </c>
      <c r="D111" s="1" t="s">
        <v>702</v>
      </c>
      <c r="E111" s="13">
        <v>42846</v>
      </c>
      <c r="F111" s="13">
        <v>42861</v>
      </c>
      <c r="G111" s="1"/>
      <c r="H111" s="1"/>
      <c r="I111" s="1">
        <v>0</v>
      </c>
      <c r="J111" s="1">
        <v>0</v>
      </c>
      <c r="K111" s="1">
        <v>0</v>
      </c>
      <c r="L111" s="1"/>
      <c r="M111" s="1" t="s">
        <v>500</v>
      </c>
      <c r="N111" s="1" t="s">
        <v>496</v>
      </c>
      <c r="O111" s="2"/>
    </row>
    <row r="112" spans="1:15" ht="12.75" customHeight="1">
      <c r="A112" s="1" t="s">
        <v>957</v>
      </c>
      <c r="B112" s="1" t="s">
        <v>958</v>
      </c>
      <c r="C112" s="1" t="s">
        <v>507</v>
      </c>
      <c r="D112" s="1" t="s">
        <v>360</v>
      </c>
      <c r="E112" s="13">
        <v>42845</v>
      </c>
      <c r="F112" s="13">
        <v>42856</v>
      </c>
      <c r="G112" s="1"/>
      <c r="H112" s="13">
        <v>42850</v>
      </c>
      <c r="I112" s="1">
        <v>46.22</v>
      </c>
      <c r="J112" s="1">
        <v>46.22</v>
      </c>
      <c r="K112" s="1">
        <v>0</v>
      </c>
      <c r="L112" s="1"/>
      <c r="M112" s="1" t="s">
        <v>500</v>
      </c>
      <c r="N112" s="1" t="s">
        <v>496</v>
      </c>
      <c r="O112" s="2"/>
    </row>
    <row r="113" spans="1:15" ht="12.75" customHeight="1">
      <c r="A113" s="1" t="s">
        <v>959</v>
      </c>
      <c r="B113" s="1" t="s">
        <v>960</v>
      </c>
      <c r="C113" s="1" t="s">
        <v>507</v>
      </c>
      <c r="D113" s="1" t="s">
        <v>360</v>
      </c>
      <c r="E113" s="13">
        <v>42846</v>
      </c>
      <c r="F113" s="13">
        <v>42826</v>
      </c>
      <c r="G113" s="1"/>
      <c r="H113" s="13">
        <v>42850</v>
      </c>
      <c r="I113" s="1">
        <v>54.63</v>
      </c>
      <c r="J113" s="1">
        <v>54.63</v>
      </c>
      <c r="K113" s="1">
        <v>0</v>
      </c>
      <c r="L113" s="1"/>
      <c r="M113" s="1" t="s">
        <v>500</v>
      </c>
      <c r="N113" s="1" t="s">
        <v>496</v>
      </c>
      <c r="O113" s="2"/>
    </row>
    <row r="114" spans="1:15" ht="12.75" customHeight="1">
      <c r="A114" s="1" t="s">
        <v>961</v>
      </c>
      <c r="B114" s="1" t="s">
        <v>962</v>
      </c>
      <c r="C114" s="1" t="s">
        <v>507</v>
      </c>
      <c r="D114" s="1" t="s">
        <v>220</v>
      </c>
      <c r="E114" s="13">
        <v>42850</v>
      </c>
      <c r="F114" s="13">
        <v>42865</v>
      </c>
      <c r="G114" s="1"/>
      <c r="H114" s="13">
        <v>42851</v>
      </c>
      <c r="I114" s="1">
        <v>196.72</v>
      </c>
      <c r="J114" s="1">
        <v>196.72</v>
      </c>
      <c r="K114" s="1">
        <v>0</v>
      </c>
      <c r="L114" s="1"/>
      <c r="M114" s="1" t="s">
        <v>500</v>
      </c>
      <c r="N114" s="1" t="s">
        <v>496</v>
      </c>
      <c r="O114" s="2"/>
    </row>
    <row r="115" spans="1:15" ht="12.75" customHeight="1">
      <c r="A115" s="1" t="s">
        <v>963</v>
      </c>
      <c r="B115" s="1" t="s">
        <v>964</v>
      </c>
      <c r="C115" s="1" t="s">
        <v>507</v>
      </c>
      <c r="D115" s="1" t="s">
        <v>544</v>
      </c>
      <c r="E115" s="13">
        <v>42850</v>
      </c>
      <c r="F115" s="13">
        <v>42865</v>
      </c>
      <c r="G115" s="1"/>
      <c r="H115" s="13">
        <v>42851</v>
      </c>
      <c r="I115" s="1">
        <v>398.16</v>
      </c>
      <c r="J115" s="1">
        <v>398.16</v>
      </c>
      <c r="K115" s="1">
        <v>0</v>
      </c>
      <c r="L115" s="1"/>
      <c r="M115" s="1" t="s">
        <v>500</v>
      </c>
      <c r="N115" s="1" t="s">
        <v>496</v>
      </c>
      <c r="O115" s="2"/>
    </row>
    <row r="116" spans="1:15" ht="12.75" customHeight="1">
      <c r="A116" s="1" t="s">
        <v>965</v>
      </c>
      <c r="B116" s="1" t="s">
        <v>966</v>
      </c>
      <c r="C116" s="1" t="s">
        <v>507</v>
      </c>
      <c r="D116" s="1" t="s">
        <v>378</v>
      </c>
      <c r="E116" s="13">
        <v>42850</v>
      </c>
      <c r="F116" s="13">
        <v>42886</v>
      </c>
      <c r="G116" s="1"/>
      <c r="H116" s="1"/>
      <c r="I116" s="1">
        <v>91.7</v>
      </c>
      <c r="J116" s="1">
        <v>0</v>
      </c>
      <c r="K116" s="1">
        <v>91.7</v>
      </c>
      <c r="L116" s="1"/>
      <c r="M116" s="1" t="s">
        <v>500</v>
      </c>
      <c r="N116" s="1" t="s">
        <v>506</v>
      </c>
      <c r="O116" s="2"/>
    </row>
    <row r="117" spans="1:15" ht="12.75" customHeight="1">
      <c r="A117" s="1" t="s">
        <v>967</v>
      </c>
      <c r="B117" s="1" t="s">
        <v>968</v>
      </c>
      <c r="C117" s="1" t="s">
        <v>507</v>
      </c>
      <c r="D117" s="1" t="s">
        <v>538</v>
      </c>
      <c r="E117" s="13">
        <v>42850</v>
      </c>
      <c r="F117" s="13">
        <v>42865</v>
      </c>
      <c r="G117" s="1"/>
      <c r="H117" s="13">
        <v>42851</v>
      </c>
      <c r="I117" s="1">
        <v>91.05</v>
      </c>
      <c r="J117" s="1">
        <v>91.05</v>
      </c>
      <c r="K117" s="1">
        <v>0</v>
      </c>
      <c r="L117" s="1"/>
      <c r="M117" s="1" t="s">
        <v>500</v>
      </c>
      <c r="N117" s="1" t="s">
        <v>496</v>
      </c>
      <c r="O117" s="2"/>
    </row>
    <row r="118" spans="1:15" ht="12.75" customHeight="1">
      <c r="A118" s="1" t="s">
        <v>969</v>
      </c>
      <c r="B118" s="1" t="s">
        <v>970</v>
      </c>
      <c r="C118" s="1" t="s">
        <v>507</v>
      </c>
      <c r="D118" s="1" t="s">
        <v>395</v>
      </c>
      <c r="E118" s="13">
        <v>42850</v>
      </c>
      <c r="F118" s="13">
        <v>42865</v>
      </c>
      <c r="G118" s="1"/>
      <c r="H118" s="13">
        <v>42851</v>
      </c>
      <c r="I118" s="1">
        <v>58.82</v>
      </c>
      <c r="J118" s="1">
        <v>58.82</v>
      </c>
      <c r="K118" s="1">
        <v>0</v>
      </c>
      <c r="L118" s="1"/>
      <c r="M118" s="1" t="s">
        <v>500</v>
      </c>
      <c r="N118" s="1" t="s">
        <v>496</v>
      </c>
      <c r="O118" s="2"/>
    </row>
    <row r="119" spans="1:15" ht="12.75" customHeight="1">
      <c r="A119" s="1" t="s">
        <v>971</v>
      </c>
      <c r="B119" s="1" t="s">
        <v>972</v>
      </c>
      <c r="C119" s="1" t="s">
        <v>507</v>
      </c>
      <c r="D119" s="1" t="s">
        <v>538</v>
      </c>
      <c r="E119" s="13">
        <v>42850</v>
      </c>
      <c r="F119" s="13">
        <v>42865</v>
      </c>
      <c r="G119" s="1"/>
      <c r="H119" s="13">
        <v>42851</v>
      </c>
      <c r="I119" s="1">
        <v>91.05</v>
      </c>
      <c r="J119" s="1">
        <v>91.05</v>
      </c>
      <c r="K119" s="1">
        <v>0</v>
      </c>
      <c r="L119" s="1"/>
      <c r="M119" s="1" t="s">
        <v>500</v>
      </c>
      <c r="N119" s="1" t="s">
        <v>496</v>
      </c>
      <c r="O119" s="2"/>
    </row>
    <row r="120" spans="1:15" ht="12.75" customHeight="1">
      <c r="A120" s="1" t="s">
        <v>973</v>
      </c>
      <c r="B120" s="1" t="s">
        <v>974</v>
      </c>
      <c r="C120" s="1" t="s">
        <v>507</v>
      </c>
      <c r="D120" s="1" t="s">
        <v>576</v>
      </c>
      <c r="E120" s="13">
        <v>42850</v>
      </c>
      <c r="F120" s="13">
        <v>42865</v>
      </c>
      <c r="G120" s="1"/>
      <c r="H120" s="13">
        <v>42851</v>
      </c>
      <c r="I120" s="1">
        <v>83.34</v>
      </c>
      <c r="J120" s="1">
        <v>83.34</v>
      </c>
      <c r="K120" s="1">
        <v>0</v>
      </c>
      <c r="L120" s="1"/>
      <c r="M120" s="1" t="s">
        <v>500</v>
      </c>
      <c r="N120" s="1" t="s">
        <v>496</v>
      </c>
      <c r="O120" s="2"/>
    </row>
    <row r="121" spans="1:15" ht="12.75" customHeight="1">
      <c r="A121" s="1" t="s">
        <v>975</v>
      </c>
      <c r="B121" s="1" t="s">
        <v>976</v>
      </c>
      <c r="C121" s="1" t="s">
        <v>507</v>
      </c>
      <c r="D121" s="1" t="s">
        <v>320</v>
      </c>
      <c r="E121" s="13">
        <v>42850</v>
      </c>
      <c r="F121" s="13">
        <v>42865</v>
      </c>
      <c r="G121" s="1"/>
      <c r="H121" s="13">
        <v>42852</v>
      </c>
      <c r="I121" s="1">
        <v>383.57</v>
      </c>
      <c r="J121" s="1">
        <v>383.57</v>
      </c>
      <c r="K121" s="1">
        <v>0</v>
      </c>
      <c r="L121" s="1"/>
      <c r="M121" s="1" t="s">
        <v>500</v>
      </c>
      <c r="N121" s="1" t="s">
        <v>496</v>
      </c>
      <c r="O121" s="2"/>
    </row>
    <row r="122" spans="1:15" ht="12.75" customHeight="1">
      <c r="A122" s="1" t="s">
        <v>977</v>
      </c>
      <c r="B122" s="1" t="s">
        <v>978</v>
      </c>
      <c r="C122" s="1" t="s">
        <v>507</v>
      </c>
      <c r="D122" s="1" t="s">
        <v>113</v>
      </c>
      <c r="E122" s="13">
        <v>42850</v>
      </c>
      <c r="F122" s="13">
        <v>42886</v>
      </c>
      <c r="G122" s="1"/>
      <c r="H122" s="1"/>
      <c r="I122" s="1">
        <v>680.76</v>
      </c>
      <c r="J122" s="1">
        <v>0</v>
      </c>
      <c r="K122" s="1">
        <v>680.76</v>
      </c>
      <c r="L122" s="1"/>
      <c r="M122" s="1" t="s">
        <v>498</v>
      </c>
      <c r="N122" s="1" t="s">
        <v>506</v>
      </c>
      <c r="O122" s="2"/>
    </row>
    <row r="123" spans="1:15" ht="12.75" customHeight="1">
      <c r="A123" s="1" t="s">
        <v>979</v>
      </c>
      <c r="B123" s="1" t="s">
        <v>980</v>
      </c>
      <c r="C123" s="1" t="s">
        <v>507</v>
      </c>
      <c r="D123" s="1" t="s">
        <v>378</v>
      </c>
      <c r="E123" s="13">
        <v>42850</v>
      </c>
      <c r="F123" s="13">
        <v>42886</v>
      </c>
      <c r="G123" s="1"/>
      <c r="H123" s="1"/>
      <c r="I123" s="1">
        <v>24.89</v>
      </c>
      <c r="J123" s="1">
        <v>0</v>
      </c>
      <c r="K123" s="1">
        <v>24.89</v>
      </c>
      <c r="L123" s="1"/>
      <c r="M123" s="1" t="s">
        <v>500</v>
      </c>
      <c r="N123" s="1" t="s">
        <v>506</v>
      </c>
      <c r="O123" s="2"/>
    </row>
    <row r="124" spans="1:15" ht="12.75" customHeight="1">
      <c r="A124" s="1" t="s">
        <v>981</v>
      </c>
      <c r="B124" s="1" t="s">
        <v>982</v>
      </c>
      <c r="C124" s="1" t="s">
        <v>507</v>
      </c>
      <c r="D124" s="1" t="s">
        <v>366</v>
      </c>
      <c r="E124" s="13">
        <v>42850</v>
      </c>
      <c r="F124" s="13">
        <v>42865</v>
      </c>
      <c r="G124" s="1"/>
      <c r="H124" s="13">
        <v>42853</v>
      </c>
      <c r="I124" s="1">
        <v>532.24</v>
      </c>
      <c r="J124" s="1">
        <v>532.24</v>
      </c>
      <c r="K124" s="1">
        <v>0</v>
      </c>
      <c r="L124" s="1"/>
      <c r="M124" s="1" t="s">
        <v>500</v>
      </c>
      <c r="N124" s="1" t="s">
        <v>496</v>
      </c>
      <c r="O124" s="2"/>
    </row>
    <row r="125" spans="1:15" ht="12.75" customHeight="1">
      <c r="A125" s="1" t="s">
        <v>983</v>
      </c>
      <c r="B125" s="1" t="s">
        <v>984</v>
      </c>
      <c r="C125" s="1" t="s">
        <v>507</v>
      </c>
      <c r="D125" s="1" t="s">
        <v>565</v>
      </c>
      <c r="E125" s="13">
        <v>42850</v>
      </c>
      <c r="F125" s="13">
        <v>42865</v>
      </c>
      <c r="G125" s="1"/>
      <c r="H125" s="13">
        <v>42853</v>
      </c>
      <c r="I125" s="1">
        <v>135.87</v>
      </c>
      <c r="J125" s="1">
        <v>135.87</v>
      </c>
      <c r="K125" s="1">
        <v>0</v>
      </c>
      <c r="L125" s="1"/>
      <c r="M125" s="1" t="s">
        <v>500</v>
      </c>
      <c r="N125" s="1" t="s">
        <v>496</v>
      </c>
      <c r="O125" s="2"/>
    </row>
    <row r="126" spans="1:15" ht="12.75" customHeight="1">
      <c r="A126" s="1" t="s">
        <v>985</v>
      </c>
      <c r="B126" s="1" t="s">
        <v>986</v>
      </c>
      <c r="C126" s="1" t="s">
        <v>507</v>
      </c>
      <c r="D126" s="1" t="s">
        <v>109</v>
      </c>
      <c r="E126" s="13">
        <v>42850</v>
      </c>
      <c r="F126" s="13">
        <v>42886</v>
      </c>
      <c r="G126" s="1"/>
      <c r="H126" s="1"/>
      <c r="I126" s="1">
        <v>3219.36</v>
      </c>
      <c r="J126" s="1">
        <v>0</v>
      </c>
      <c r="K126" s="1">
        <v>3219.36</v>
      </c>
      <c r="L126" s="1"/>
      <c r="M126" s="1" t="s">
        <v>500</v>
      </c>
      <c r="N126" s="1" t="s">
        <v>506</v>
      </c>
      <c r="O126" s="2"/>
    </row>
    <row r="127" spans="1:15" ht="12.75" customHeight="1">
      <c r="A127" s="1" t="s">
        <v>987</v>
      </c>
      <c r="B127" s="1" t="s">
        <v>988</v>
      </c>
      <c r="C127" s="1" t="s">
        <v>507</v>
      </c>
      <c r="D127" s="1" t="s">
        <v>727</v>
      </c>
      <c r="E127" s="13">
        <v>42850</v>
      </c>
      <c r="F127" s="13">
        <v>42865</v>
      </c>
      <c r="G127" s="1"/>
      <c r="H127" s="13">
        <v>42853</v>
      </c>
      <c r="I127" s="1">
        <v>152.82</v>
      </c>
      <c r="J127" s="1">
        <v>152.82</v>
      </c>
      <c r="K127" s="1">
        <v>0</v>
      </c>
      <c r="L127" s="1"/>
      <c r="M127" s="1" t="s">
        <v>500</v>
      </c>
      <c r="N127" s="1" t="s">
        <v>496</v>
      </c>
      <c r="O127" s="2"/>
    </row>
    <row r="128" spans="1:15" ht="12.75" customHeight="1">
      <c r="A128" s="1" t="s">
        <v>989</v>
      </c>
      <c r="B128" s="1" t="s">
        <v>990</v>
      </c>
      <c r="C128" s="1" t="s">
        <v>507</v>
      </c>
      <c r="D128" s="1" t="s">
        <v>109</v>
      </c>
      <c r="E128" s="13">
        <v>42850</v>
      </c>
      <c r="F128" s="13">
        <v>42865</v>
      </c>
      <c r="G128" s="1"/>
      <c r="H128" s="1"/>
      <c r="I128" s="1">
        <v>0</v>
      </c>
      <c r="J128" s="1">
        <v>0</v>
      </c>
      <c r="K128" s="1">
        <v>0</v>
      </c>
      <c r="L128" s="1"/>
      <c r="M128" s="1" t="s">
        <v>500</v>
      </c>
      <c r="N128" s="1" t="s">
        <v>496</v>
      </c>
      <c r="O128" s="2"/>
    </row>
    <row r="129" spans="1:15" ht="12.75" customHeight="1">
      <c r="A129" s="1" t="s">
        <v>991</v>
      </c>
      <c r="B129" s="1" t="s">
        <v>992</v>
      </c>
      <c r="C129" s="1" t="s">
        <v>507</v>
      </c>
      <c r="D129" s="1" t="s">
        <v>378</v>
      </c>
      <c r="E129" s="13">
        <v>42852</v>
      </c>
      <c r="F129" s="13">
        <v>42886</v>
      </c>
      <c r="G129" s="1"/>
      <c r="H129" s="1"/>
      <c r="I129" s="1">
        <v>164.44</v>
      </c>
      <c r="J129" s="1">
        <v>0</v>
      </c>
      <c r="K129" s="1">
        <v>164.44</v>
      </c>
      <c r="L129" s="1"/>
      <c r="M129" s="1" t="s">
        <v>500</v>
      </c>
      <c r="N129" s="1" t="s">
        <v>506</v>
      </c>
      <c r="O129" s="2"/>
    </row>
    <row r="130" spans="1:15" ht="12.75" customHeight="1">
      <c r="A130" s="1" t="s">
        <v>993</v>
      </c>
      <c r="B130" s="1" t="s">
        <v>994</v>
      </c>
      <c r="C130" s="1" t="s">
        <v>507</v>
      </c>
      <c r="D130" s="1" t="s">
        <v>545</v>
      </c>
      <c r="E130" s="13">
        <v>42852</v>
      </c>
      <c r="F130" s="13">
        <v>42867</v>
      </c>
      <c r="G130" s="1"/>
      <c r="H130" s="13">
        <v>42853</v>
      </c>
      <c r="I130" s="1">
        <v>141.46</v>
      </c>
      <c r="J130" s="1">
        <v>141.46</v>
      </c>
      <c r="K130" s="1">
        <v>0</v>
      </c>
      <c r="L130" s="1"/>
      <c r="M130" s="1" t="s">
        <v>500</v>
      </c>
      <c r="N130" s="1" t="s">
        <v>496</v>
      </c>
      <c r="O130" s="2"/>
    </row>
    <row r="131" spans="1:15" ht="12.75" customHeight="1">
      <c r="A131" s="1" t="s">
        <v>995</v>
      </c>
      <c r="B131" s="1" t="s">
        <v>996</v>
      </c>
      <c r="C131" s="1" t="s">
        <v>507</v>
      </c>
      <c r="D131" s="1" t="s">
        <v>722</v>
      </c>
      <c r="E131" s="13">
        <v>42852</v>
      </c>
      <c r="F131" s="13">
        <v>42867</v>
      </c>
      <c r="G131" s="1"/>
      <c r="H131" s="13">
        <v>42857</v>
      </c>
      <c r="I131" s="1">
        <v>191.16</v>
      </c>
      <c r="J131" s="1">
        <v>191.16</v>
      </c>
      <c r="K131" s="1">
        <v>0</v>
      </c>
      <c r="L131" s="1"/>
      <c r="M131" s="1" t="s">
        <v>500</v>
      </c>
      <c r="N131" s="1" t="s">
        <v>496</v>
      </c>
      <c r="O131" s="2"/>
    </row>
    <row r="132" spans="1:15" ht="12.75" customHeight="1">
      <c r="A132" s="1" t="s">
        <v>997</v>
      </c>
      <c r="B132" s="1" t="s">
        <v>998</v>
      </c>
      <c r="C132" s="1" t="s">
        <v>507</v>
      </c>
      <c r="D132" s="1" t="s">
        <v>550</v>
      </c>
      <c r="E132" s="13">
        <v>42852</v>
      </c>
      <c r="F132" s="13">
        <v>42867</v>
      </c>
      <c r="G132" s="1"/>
      <c r="H132" s="13">
        <v>42857</v>
      </c>
      <c r="I132" s="1">
        <v>68.71</v>
      </c>
      <c r="J132" s="1">
        <v>68.71</v>
      </c>
      <c r="K132" s="1">
        <v>0</v>
      </c>
      <c r="L132" s="1"/>
      <c r="M132" s="1" t="s">
        <v>500</v>
      </c>
      <c r="N132" s="1" t="s">
        <v>496</v>
      </c>
      <c r="O132" s="2"/>
    </row>
    <row r="133" spans="1:15" ht="12.75" customHeight="1">
      <c r="A133" s="1" t="s">
        <v>999</v>
      </c>
      <c r="B133" s="1" t="s">
        <v>1000</v>
      </c>
      <c r="C133" s="1" t="s">
        <v>507</v>
      </c>
      <c r="D133" s="1" t="s">
        <v>205</v>
      </c>
      <c r="E133" s="13">
        <v>42852</v>
      </c>
      <c r="F133" s="13">
        <v>42867</v>
      </c>
      <c r="G133" s="1"/>
      <c r="H133" s="13">
        <v>42857</v>
      </c>
      <c r="I133" s="1">
        <v>64.65</v>
      </c>
      <c r="J133" s="1">
        <v>64.65</v>
      </c>
      <c r="K133" s="1">
        <v>0</v>
      </c>
      <c r="L133" s="1"/>
      <c r="M133" s="1" t="s">
        <v>500</v>
      </c>
      <c r="N133" s="1" t="s">
        <v>496</v>
      </c>
      <c r="O133" s="2"/>
    </row>
    <row r="134" spans="1:15" ht="12.75" customHeight="1">
      <c r="A134" s="1" t="s">
        <v>1001</v>
      </c>
      <c r="B134" s="1" t="s">
        <v>1002</v>
      </c>
      <c r="C134" s="1" t="s">
        <v>507</v>
      </c>
      <c r="D134" s="1" t="s">
        <v>726</v>
      </c>
      <c r="E134" s="13">
        <v>42852</v>
      </c>
      <c r="F134" s="13">
        <v>42867</v>
      </c>
      <c r="G134" s="1"/>
      <c r="H134" s="13">
        <v>42857</v>
      </c>
      <c r="I134" s="1">
        <v>110.65</v>
      </c>
      <c r="J134" s="1">
        <v>110.65</v>
      </c>
      <c r="K134" s="1">
        <v>0</v>
      </c>
      <c r="L134" s="1"/>
      <c r="M134" s="1" t="s">
        <v>500</v>
      </c>
      <c r="N134" s="1" t="s">
        <v>496</v>
      </c>
      <c r="O134" s="2"/>
    </row>
    <row r="135" spans="1:15" ht="12.75" customHeight="1">
      <c r="A135" s="1" t="s">
        <v>1003</v>
      </c>
      <c r="B135" s="1" t="s">
        <v>1004</v>
      </c>
      <c r="C135" s="1" t="s">
        <v>507</v>
      </c>
      <c r="D135" s="1" t="s">
        <v>394</v>
      </c>
      <c r="E135" s="13">
        <v>42852</v>
      </c>
      <c r="F135" s="13">
        <v>42867</v>
      </c>
      <c r="G135" s="1"/>
      <c r="H135" s="13">
        <v>42857</v>
      </c>
      <c r="I135" s="1">
        <v>371.11</v>
      </c>
      <c r="J135" s="1">
        <v>371.11</v>
      </c>
      <c r="K135" s="1">
        <v>0</v>
      </c>
      <c r="L135" s="1"/>
      <c r="M135" s="1" t="s">
        <v>500</v>
      </c>
      <c r="N135" s="1" t="s">
        <v>496</v>
      </c>
      <c r="O135" s="2"/>
    </row>
    <row r="136" spans="1:15" ht="12.75" customHeight="1">
      <c r="A136" s="1" t="s">
        <v>1005</v>
      </c>
      <c r="B136" s="1" t="s">
        <v>1006</v>
      </c>
      <c r="C136" s="1" t="s">
        <v>507</v>
      </c>
      <c r="D136" s="1" t="s">
        <v>702</v>
      </c>
      <c r="E136" s="13">
        <v>42850</v>
      </c>
      <c r="F136" s="13">
        <v>42865</v>
      </c>
      <c r="G136" s="1"/>
      <c r="H136" s="1"/>
      <c r="I136" s="1">
        <v>0</v>
      </c>
      <c r="J136" s="1">
        <v>0</v>
      </c>
      <c r="K136" s="1">
        <v>0</v>
      </c>
      <c r="L136" s="1"/>
      <c r="M136" s="1" t="s">
        <v>500</v>
      </c>
      <c r="N136" s="1" t="s">
        <v>496</v>
      </c>
      <c r="O136" s="2"/>
    </row>
    <row r="137" spans="1:15" ht="12.75" customHeight="1">
      <c r="A137" s="1" t="s">
        <v>1007</v>
      </c>
      <c r="B137" s="1" t="s">
        <v>1008</v>
      </c>
      <c r="C137" s="1" t="s">
        <v>507</v>
      </c>
      <c r="D137" s="1" t="s">
        <v>714</v>
      </c>
      <c r="E137" s="13">
        <v>42831</v>
      </c>
      <c r="F137" s="13">
        <v>42826</v>
      </c>
      <c r="G137" s="1"/>
      <c r="H137" s="13">
        <v>42831</v>
      </c>
      <c r="I137" s="1">
        <v>2552.52</v>
      </c>
      <c r="J137" s="1">
        <v>2552.52</v>
      </c>
      <c r="K137" s="1">
        <v>0</v>
      </c>
      <c r="L137" s="1"/>
      <c r="M137" s="1" t="s">
        <v>508</v>
      </c>
      <c r="N137" s="1" t="s">
        <v>496</v>
      </c>
      <c r="O137" s="2"/>
    </row>
    <row r="138" spans="1:15" ht="12.75" customHeight="1">
      <c r="A138" s="4" t="s">
        <v>509</v>
      </c>
      <c r="B138" s="4"/>
      <c r="C138" s="4"/>
      <c r="D138" s="4"/>
      <c r="E138" s="4"/>
      <c r="F138" s="4"/>
      <c r="G138" s="4"/>
      <c r="H138" s="4"/>
      <c r="I138" s="5">
        <f>SUM(I5:I137)</f>
        <v>46862.81</v>
      </c>
      <c r="J138" s="5">
        <f>SUM(J5:J137)</f>
        <v>23729.92000000001</v>
      </c>
      <c r="K138" s="5">
        <f>SUM(K5:K137)</f>
        <v>23162.299999999992</v>
      </c>
      <c r="L138" s="4"/>
      <c r="M138" s="4"/>
      <c r="N138" s="4"/>
      <c r="O138" s="2"/>
    </row>
    <row r="140" ht="12.75">
      <c r="I140">
        <f>+I138*100/120</f>
        <v>39052.34166666667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7">
      <selection activeCell="H12" sqref="H12"/>
    </sheetView>
  </sheetViews>
  <sheetFormatPr defaultColWidth="8.8515625" defaultRowHeight="12.75"/>
  <cols>
    <col min="1" max="1" width="18.140625" style="0" customWidth="1"/>
    <col min="2" max="2" width="19.00390625" style="0" customWidth="1"/>
    <col min="3" max="3" width="8.140625" style="0" customWidth="1"/>
    <col min="4" max="4" width="30.7109375" style="0" bestFit="1" customWidth="1"/>
    <col min="5" max="6" width="9.8515625" style="0" bestFit="1" customWidth="1"/>
    <col min="7" max="7" width="14.28125" style="0" bestFit="1" customWidth="1"/>
    <col min="8" max="8" width="9.8515625" style="0" bestFit="1" customWidth="1"/>
    <col min="9" max="9" width="12.7109375" style="0" bestFit="1" customWidth="1"/>
    <col min="10" max="10" width="8.8515625" style="0" customWidth="1"/>
    <col min="11" max="11" width="5.421875" style="0" bestFit="1" customWidth="1"/>
    <col min="12" max="12" width="8.8515625" style="0" customWidth="1"/>
    <col min="13" max="13" width="6.7109375" style="0" bestFit="1" customWidth="1"/>
    <col min="14" max="14" width="6.57421875" style="0" bestFit="1" customWidth="1"/>
  </cols>
  <sheetData>
    <row r="1" spans="1:14" ht="12.75" customHeight="1">
      <c r="A1" s="327" t="s">
        <v>488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ht="12.75" customHeight="1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12.75" customHeight="1">
      <c r="A3" s="328" t="s">
        <v>624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5" ht="12.75" customHeight="1">
      <c r="A4" s="3" t="s">
        <v>489</v>
      </c>
      <c r="B4" s="3" t="s">
        <v>490</v>
      </c>
      <c r="C4" s="3" t="s">
        <v>491</v>
      </c>
      <c r="D4" s="3" t="s">
        <v>492</v>
      </c>
      <c r="E4" s="3" t="s">
        <v>493</v>
      </c>
      <c r="F4" s="3" t="s">
        <v>625</v>
      </c>
      <c r="G4" s="3" t="s">
        <v>626</v>
      </c>
      <c r="H4" s="3" t="s">
        <v>494</v>
      </c>
      <c r="I4" s="3" t="s">
        <v>495</v>
      </c>
      <c r="J4" s="3" t="s">
        <v>496</v>
      </c>
      <c r="K4" s="3" t="s">
        <v>497</v>
      </c>
      <c r="L4" s="3"/>
      <c r="M4" s="3" t="s">
        <v>498</v>
      </c>
      <c r="N4" s="3" t="s">
        <v>499</v>
      </c>
      <c r="O4" s="2"/>
    </row>
    <row r="5" spans="1:15" ht="12.75" customHeight="1">
      <c r="A5" s="1" t="s">
        <v>627</v>
      </c>
      <c r="B5" s="1" t="s">
        <v>628</v>
      </c>
      <c r="C5" s="1" t="s">
        <v>507</v>
      </c>
      <c r="D5" s="1" t="s">
        <v>113</v>
      </c>
      <c r="E5" s="13">
        <v>42801</v>
      </c>
      <c r="F5" s="13">
        <v>42838</v>
      </c>
      <c r="G5" s="1"/>
      <c r="H5" s="13">
        <v>42838</v>
      </c>
      <c r="I5" s="1">
        <v>40.08</v>
      </c>
      <c r="J5" s="1">
        <v>40.08</v>
      </c>
      <c r="K5" s="1">
        <v>0</v>
      </c>
      <c r="L5" s="1"/>
      <c r="M5" s="1" t="s">
        <v>498</v>
      </c>
      <c r="N5" s="1" t="s">
        <v>496</v>
      </c>
      <c r="O5" s="2"/>
    </row>
    <row r="6" spans="1:15" ht="12.75" customHeight="1">
      <c r="A6" s="1" t="s">
        <v>629</v>
      </c>
      <c r="B6" s="1" t="s">
        <v>630</v>
      </c>
      <c r="C6" s="1" t="s">
        <v>507</v>
      </c>
      <c r="D6" s="1" t="s">
        <v>378</v>
      </c>
      <c r="E6" s="13">
        <v>42803</v>
      </c>
      <c r="F6" s="13">
        <v>42842</v>
      </c>
      <c r="G6" s="1"/>
      <c r="H6" s="13">
        <v>42838</v>
      </c>
      <c r="I6" s="1">
        <v>39.28</v>
      </c>
      <c r="J6" s="1">
        <v>39.28</v>
      </c>
      <c r="K6" s="1">
        <v>0</v>
      </c>
      <c r="L6" s="1"/>
      <c r="M6" s="1" t="s">
        <v>500</v>
      </c>
      <c r="N6" s="1" t="s">
        <v>496</v>
      </c>
      <c r="O6" s="2"/>
    </row>
    <row r="7" spans="1:15" ht="12.75" customHeight="1">
      <c r="A7" s="1" t="s">
        <v>631</v>
      </c>
      <c r="B7" s="1" t="s">
        <v>632</v>
      </c>
      <c r="C7" s="1" t="s">
        <v>507</v>
      </c>
      <c r="D7" s="1" t="s">
        <v>378</v>
      </c>
      <c r="E7" s="13">
        <v>42803</v>
      </c>
      <c r="F7" s="13">
        <v>42842</v>
      </c>
      <c r="G7" s="1"/>
      <c r="H7" s="13">
        <v>42838</v>
      </c>
      <c r="I7" s="1">
        <v>104.81</v>
      </c>
      <c r="J7" s="1">
        <v>104.81</v>
      </c>
      <c r="K7" s="1">
        <v>0</v>
      </c>
      <c r="L7" s="1"/>
      <c r="M7" s="1" t="s">
        <v>500</v>
      </c>
      <c r="N7" s="1" t="s">
        <v>496</v>
      </c>
      <c r="O7" s="2"/>
    </row>
    <row r="8" spans="1:15" ht="12.75" customHeight="1">
      <c r="A8" s="1" t="s">
        <v>633</v>
      </c>
      <c r="B8" s="1" t="s">
        <v>634</v>
      </c>
      <c r="C8" s="1" t="s">
        <v>507</v>
      </c>
      <c r="D8" s="1" t="s">
        <v>100</v>
      </c>
      <c r="E8" s="13">
        <v>42803</v>
      </c>
      <c r="F8" s="13">
        <v>42833</v>
      </c>
      <c r="G8" s="1"/>
      <c r="H8" s="13">
        <v>42837</v>
      </c>
      <c r="I8" s="1">
        <v>1290.38</v>
      </c>
      <c r="J8" s="1">
        <v>1290.38</v>
      </c>
      <c r="K8" s="1">
        <v>0</v>
      </c>
      <c r="L8" s="1"/>
      <c r="M8" s="1" t="s">
        <v>498</v>
      </c>
      <c r="N8" s="1" t="s">
        <v>496</v>
      </c>
      <c r="O8" s="2"/>
    </row>
    <row r="9" spans="1:15" ht="12.75" customHeight="1">
      <c r="A9" s="1" t="s">
        <v>635</v>
      </c>
      <c r="B9" s="1" t="s">
        <v>636</v>
      </c>
      <c r="C9" s="1" t="s">
        <v>507</v>
      </c>
      <c r="D9" s="1" t="s">
        <v>100</v>
      </c>
      <c r="E9" s="13">
        <v>42803</v>
      </c>
      <c r="F9" s="13">
        <v>42833</v>
      </c>
      <c r="G9" s="1"/>
      <c r="H9" s="13">
        <v>42837</v>
      </c>
      <c r="I9" s="1">
        <v>365.31</v>
      </c>
      <c r="J9" s="1">
        <v>365.31</v>
      </c>
      <c r="K9" s="1">
        <v>0</v>
      </c>
      <c r="L9" s="1"/>
      <c r="M9" s="1" t="s">
        <v>498</v>
      </c>
      <c r="N9" s="1" t="s">
        <v>496</v>
      </c>
      <c r="O9" s="2"/>
    </row>
    <row r="10" spans="1:15" ht="12.75" customHeight="1">
      <c r="A10" s="1" t="s">
        <v>637</v>
      </c>
      <c r="B10" s="1" t="s">
        <v>638</v>
      </c>
      <c r="C10" s="1" t="s">
        <v>507</v>
      </c>
      <c r="D10" s="1" t="s">
        <v>100</v>
      </c>
      <c r="E10" s="13">
        <v>42803</v>
      </c>
      <c r="F10" s="13">
        <v>42833</v>
      </c>
      <c r="G10" s="1"/>
      <c r="H10" s="13">
        <v>42837</v>
      </c>
      <c r="I10" s="1">
        <v>239.2</v>
      </c>
      <c r="J10" s="1">
        <v>239.2</v>
      </c>
      <c r="K10" s="1">
        <v>0</v>
      </c>
      <c r="L10" s="1"/>
      <c r="M10" s="1" t="s">
        <v>498</v>
      </c>
      <c r="N10" s="1" t="s">
        <v>496</v>
      </c>
      <c r="O10" s="2"/>
    </row>
    <row r="11" spans="1:15" ht="12.75" customHeight="1">
      <c r="A11" s="1" t="s">
        <v>639</v>
      </c>
      <c r="B11" s="1" t="s">
        <v>640</v>
      </c>
      <c r="C11" s="1" t="s">
        <v>507</v>
      </c>
      <c r="D11" s="1" t="s">
        <v>113</v>
      </c>
      <c r="E11" s="13">
        <v>42803</v>
      </c>
      <c r="F11" s="13">
        <v>42838</v>
      </c>
      <c r="G11" s="1"/>
      <c r="H11" s="13">
        <v>42838</v>
      </c>
      <c r="I11" s="1">
        <v>438.18</v>
      </c>
      <c r="J11" s="1">
        <v>438.18</v>
      </c>
      <c r="K11" s="1">
        <v>0</v>
      </c>
      <c r="L11" s="1"/>
      <c r="M11" s="1" t="s">
        <v>498</v>
      </c>
      <c r="N11" s="1" t="s">
        <v>496</v>
      </c>
      <c r="O11" s="2"/>
    </row>
    <row r="12" spans="1:15" ht="12.75" customHeight="1">
      <c r="A12" s="1" t="s">
        <v>641</v>
      </c>
      <c r="B12" s="1" t="s">
        <v>642</v>
      </c>
      <c r="C12" s="1" t="s">
        <v>507</v>
      </c>
      <c r="D12" s="1" t="s">
        <v>378</v>
      </c>
      <c r="E12" s="13">
        <v>42808</v>
      </c>
      <c r="F12" s="13">
        <v>42842</v>
      </c>
      <c r="G12" s="1"/>
      <c r="H12" s="13">
        <v>42838</v>
      </c>
      <c r="I12" s="1">
        <v>19.74</v>
      </c>
      <c r="J12" s="1">
        <v>19.74</v>
      </c>
      <c r="K12" s="1">
        <v>0</v>
      </c>
      <c r="L12" s="1"/>
      <c r="M12" s="1" t="s">
        <v>500</v>
      </c>
      <c r="N12" s="1" t="s">
        <v>496</v>
      </c>
      <c r="O12" s="2"/>
    </row>
    <row r="13" spans="1:15" ht="12.75" customHeight="1">
      <c r="A13" s="1" t="s">
        <v>643</v>
      </c>
      <c r="B13" s="1" t="s">
        <v>644</v>
      </c>
      <c r="C13" s="1" t="s">
        <v>507</v>
      </c>
      <c r="D13" s="1" t="s">
        <v>109</v>
      </c>
      <c r="E13" s="13">
        <v>42810</v>
      </c>
      <c r="F13" s="13">
        <v>42838</v>
      </c>
      <c r="G13" s="1"/>
      <c r="H13" s="13">
        <v>42838</v>
      </c>
      <c r="I13" s="1">
        <v>1078.3</v>
      </c>
      <c r="J13" s="1">
        <v>1078.3</v>
      </c>
      <c r="K13" s="1">
        <v>0</v>
      </c>
      <c r="L13" s="1"/>
      <c r="M13" s="1" t="s">
        <v>500</v>
      </c>
      <c r="N13" s="1" t="s">
        <v>496</v>
      </c>
      <c r="O13" s="2"/>
    </row>
    <row r="14" spans="1:15" ht="12.75" customHeight="1">
      <c r="A14" s="1" t="s">
        <v>645</v>
      </c>
      <c r="B14" s="1" t="s">
        <v>646</v>
      </c>
      <c r="C14" s="1" t="s">
        <v>507</v>
      </c>
      <c r="D14" s="1" t="s">
        <v>354</v>
      </c>
      <c r="E14" s="13">
        <v>42810</v>
      </c>
      <c r="F14" s="13">
        <v>42824</v>
      </c>
      <c r="G14" s="1"/>
      <c r="H14" s="13">
        <v>42850</v>
      </c>
      <c r="I14" s="1">
        <v>126.76</v>
      </c>
      <c r="J14" s="1">
        <v>36.23</v>
      </c>
      <c r="K14" s="1">
        <v>0</v>
      </c>
      <c r="L14" s="1"/>
      <c r="M14" s="1" t="s">
        <v>500</v>
      </c>
      <c r="N14" s="1" t="s">
        <v>496</v>
      </c>
      <c r="O14" s="2"/>
    </row>
    <row r="15" spans="1:15" ht="12.75" customHeight="1">
      <c r="A15" s="1" t="s">
        <v>647</v>
      </c>
      <c r="B15" s="1" t="s">
        <v>648</v>
      </c>
      <c r="C15" s="1" t="s">
        <v>507</v>
      </c>
      <c r="D15" s="1" t="s">
        <v>354</v>
      </c>
      <c r="E15" s="13">
        <v>42810</v>
      </c>
      <c r="F15" s="13">
        <v>42824</v>
      </c>
      <c r="G15" s="1"/>
      <c r="H15" s="13">
        <v>42850</v>
      </c>
      <c r="I15" s="1">
        <v>149.77</v>
      </c>
      <c r="J15" s="1">
        <v>149.77</v>
      </c>
      <c r="K15" s="1">
        <v>0</v>
      </c>
      <c r="L15" s="1"/>
      <c r="M15" s="1" t="s">
        <v>500</v>
      </c>
      <c r="N15" s="1" t="s">
        <v>496</v>
      </c>
      <c r="O15" s="2"/>
    </row>
    <row r="16" spans="1:15" ht="12.75" customHeight="1">
      <c r="A16" s="1" t="s">
        <v>649</v>
      </c>
      <c r="B16" s="1" t="s">
        <v>650</v>
      </c>
      <c r="C16" s="1" t="s">
        <v>507</v>
      </c>
      <c r="D16" s="1" t="s">
        <v>354</v>
      </c>
      <c r="E16" s="13">
        <v>42810</v>
      </c>
      <c r="F16" s="13">
        <v>42824</v>
      </c>
      <c r="G16" s="1"/>
      <c r="H16" s="13">
        <v>42850</v>
      </c>
      <c r="I16" s="1">
        <v>162.03</v>
      </c>
      <c r="J16" s="1">
        <v>162.03</v>
      </c>
      <c r="K16" s="1">
        <v>0</v>
      </c>
      <c r="L16" s="1"/>
      <c r="M16" s="1" t="s">
        <v>500</v>
      </c>
      <c r="N16" s="1" t="s">
        <v>496</v>
      </c>
      <c r="O16" s="2"/>
    </row>
    <row r="17" spans="1:15" ht="12.75" customHeight="1">
      <c r="A17" s="1" t="s">
        <v>651</v>
      </c>
      <c r="B17" s="1" t="s">
        <v>652</v>
      </c>
      <c r="C17" s="1" t="s">
        <v>507</v>
      </c>
      <c r="D17" s="1" t="s">
        <v>113</v>
      </c>
      <c r="E17" s="13">
        <v>42810</v>
      </c>
      <c r="F17" s="13">
        <v>42838</v>
      </c>
      <c r="G17" s="1"/>
      <c r="H17" s="13">
        <v>42838</v>
      </c>
      <c r="I17" s="1">
        <v>56.1</v>
      </c>
      <c r="J17" s="1">
        <v>56.1</v>
      </c>
      <c r="K17" s="1">
        <v>0</v>
      </c>
      <c r="L17" s="1"/>
      <c r="M17" s="1" t="s">
        <v>498</v>
      </c>
      <c r="N17" s="1" t="s">
        <v>496</v>
      </c>
      <c r="O17" s="2"/>
    </row>
    <row r="18" spans="1:15" ht="12.75" customHeight="1">
      <c r="A18" s="1" t="s">
        <v>653</v>
      </c>
      <c r="B18" s="1" t="s">
        <v>654</v>
      </c>
      <c r="C18" s="1" t="s">
        <v>507</v>
      </c>
      <c r="D18" s="1" t="s">
        <v>97</v>
      </c>
      <c r="E18" s="13">
        <v>42810</v>
      </c>
      <c r="F18" s="13">
        <v>42838</v>
      </c>
      <c r="G18" s="1"/>
      <c r="H18" s="13">
        <v>42838</v>
      </c>
      <c r="I18" s="1">
        <v>431.08</v>
      </c>
      <c r="J18" s="1">
        <v>431.08</v>
      </c>
      <c r="K18" s="1">
        <v>0</v>
      </c>
      <c r="L18" s="1"/>
      <c r="M18" s="1" t="s">
        <v>500</v>
      </c>
      <c r="N18" s="1" t="s">
        <v>496</v>
      </c>
      <c r="O18" s="2"/>
    </row>
    <row r="19" spans="1:15" ht="12.75" customHeight="1">
      <c r="A19" s="1" t="s">
        <v>655</v>
      </c>
      <c r="B19" s="1" t="s">
        <v>656</v>
      </c>
      <c r="C19" s="1" t="s">
        <v>507</v>
      </c>
      <c r="D19" s="1" t="s">
        <v>108</v>
      </c>
      <c r="E19" s="13">
        <v>42814</v>
      </c>
      <c r="F19" s="13">
        <v>42838</v>
      </c>
      <c r="G19" s="1"/>
      <c r="H19" s="13">
        <v>42838</v>
      </c>
      <c r="I19" s="1">
        <v>88.85</v>
      </c>
      <c r="J19" s="1">
        <v>88.85</v>
      </c>
      <c r="K19" s="1">
        <v>0</v>
      </c>
      <c r="L19" s="1"/>
      <c r="M19" s="1" t="s">
        <v>500</v>
      </c>
      <c r="N19" s="1" t="s">
        <v>496</v>
      </c>
      <c r="O19" s="2"/>
    </row>
    <row r="20" spans="1:15" ht="12.75" customHeight="1">
      <c r="A20" s="1" t="s">
        <v>657</v>
      </c>
      <c r="B20" s="1" t="s">
        <v>658</v>
      </c>
      <c r="C20" s="1" t="s">
        <v>507</v>
      </c>
      <c r="D20" s="1" t="s">
        <v>113</v>
      </c>
      <c r="E20" s="13">
        <v>42814</v>
      </c>
      <c r="F20" s="13">
        <v>42838</v>
      </c>
      <c r="G20" s="1"/>
      <c r="H20" s="13">
        <v>42838</v>
      </c>
      <c r="I20" s="1">
        <v>338.5</v>
      </c>
      <c r="J20" s="1">
        <v>338.5</v>
      </c>
      <c r="K20" s="1">
        <v>0</v>
      </c>
      <c r="L20" s="1"/>
      <c r="M20" s="1" t="s">
        <v>498</v>
      </c>
      <c r="N20" s="1" t="s">
        <v>496</v>
      </c>
      <c r="O20" s="2"/>
    </row>
    <row r="21" spans="1:15" ht="12.75" customHeight="1">
      <c r="A21" s="1" t="s">
        <v>659</v>
      </c>
      <c r="B21" s="1" t="s">
        <v>660</v>
      </c>
      <c r="C21" s="1" t="s">
        <v>507</v>
      </c>
      <c r="D21" s="1" t="s">
        <v>378</v>
      </c>
      <c r="E21" s="13">
        <v>42814</v>
      </c>
      <c r="F21" s="13">
        <v>42838</v>
      </c>
      <c r="G21" s="1"/>
      <c r="H21" s="13">
        <v>42838</v>
      </c>
      <c r="I21" s="1">
        <v>214.14</v>
      </c>
      <c r="J21" s="1">
        <v>214.14</v>
      </c>
      <c r="K21" s="1">
        <v>0</v>
      </c>
      <c r="L21" s="1"/>
      <c r="M21" s="1" t="s">
        <v>500</v>
      </c>
      <c r="N21" s="1" t="s">
        <v>496</v>
      </c>
      <c r="O21" s="2"/>
    </row>
    <row r="22" spans="1:15" ht="12.75" customHeight="1">
      <c r="A22" s="1" t="s">
        <v>661</v>
      </c>
      <c r="B22" s="1" t="s">
        <v>662</v>
      </c>
      <c r="C22" s="1" t="s">
        <v>507</v>
      </c>
      <c r="D22" s="1" t="s">
        <v>98</v>
      </c>
      <c r="E22" s="13">
        <v>42802</v>
      </c>
      <c r="F22" s="13">
        <v>42832</v>
      </c>
      <c r="G22" s="1"/>
      <c r="H22" s="13">
        <v>42837</v>
      </c>
      <c r="I22" s="1">
        <v>3679.84</v>
      </c>
      <c r="J22" s="1">
        <v>3679.84</v>
      </c>
      <c r="K22" s="1">
        <v>0</v>
      </c>
      <c r="L22" s="1"/>
      <c r="M22" s="1" t="s">
        <v>498</v>
      </c>
      <c r="N22" s="1" t="s">
        <v>496</v>
      </c>
      <c r="O22" s="2"/>
    </row>
    <row r="23" spans="1:15" ht="12.75" customHeight="1">
      <c r="A23" s="1" t="s">
        <v>663</v>
      </c>
      <c r="B23" s="1" t="s">
        <v>664</v>
      </c>
      <c r="C23" s="1" t="s">
        <v>507</v>
      </c>
      <c r="D23" s="1" t="s">
        <v>99</v>
      </c>
      <c r="E23" s="13">
        <v>42802</v>
      </c>
      <c r="F23" s="13">
        <v>42832</v>
      </c>
      <c r="G23" s="1"/>
      <c r="H23" s="13">
        <v>42837</v>
      </c>
      <c r="I23" s="1">
        <v>1077.23</v>
      </c>
      <c r="J23" s="1">
        <v>1077.23</v>
      </c>
      <c r="K23" s="1">
        <v>0</v>
      </c>
      <c r="L23" s="1"/>
      <c r="M23" s="1" t="s">
        <v>498</v>
      </c>
      <c r="N23" s="1" t="s">
        <v>496</v>
      </c>
      <c r="O23" s="2"/>
    </row>
    <row r="24" spans="1:15" ht="12.75" customHeight="1">
      <c r="A24" s="1" t="s">
        <v>665</v>
      </c>
      <c r="B24" s="1" t="s">
        <v>666</v>
      </c>
      <c r="C24" s="1" t="s">
        <v>507</v>
      </c>
      <c r="D24" s="1" t="s">
        <v>265</v>
      </c>
      <c r="E24" s="13">
        <v>42816</v>
      </c>
      <c r="F24" s="13">
        <v>42853</v>
      </c>
      <c r="G24" s="1"/>
      <c r="H24" s="13">
        <v>42843</v>
      </c>
      <c r="I24" s="1">
        <v>663.85</v>
      </c>
      <c r="J24" s="1">
        <v>663.85</v>
      </c>
      <c r="K24" s="1">
        <v>0</v>
      </c>
      <c r="L24" s="1"/>
      <c r="M24" s="1" t="s">
        <v>500</v>
      </c>
      <c r="N24" s="1" t="s">
        <v>496</v>
      </c>
      <c r="O24" s="2"/>
    </row>
    <row r="25" spans="1:15" ht="12.75" customHeight="1">
      <c r="A25" s="1" t="s">
        <v>667</v>
      </c>
      <c r="B25" s="1" t="s">
        <v>668</v>
      </c>
      <c r="C25" s="1" t="s">
        <v>507</v>
      </c>
      <c r="D25" s="1" t="s">
        <v>113</v>
      </c>
      <c r="E25" s="13">
        <v>42817</v>
      </c>
      <c r="F25" s="13">
        <v>42853</v>
      </c>
      <c r="G25" s="1"/>
      <c r="H25" s="13">
        <v>42853</v>
      </c>
      <c r="I25" s="1">
        <v>879.21</v>
      </c>
      <c r="J25" s="1">
        <v>879.21</v>
      </c>
      <c r="K25" s="1">
        <v>0</v>
      </c>
      <c r="L25" s="1"/>
      <c r="M25" s="1" t="s">
        <v>498</v>
      </c>
      <c r="N25" s="1" t="s">
        <v>496</v>
      </c>
      <c r="O25" s="2"/>
    </row>
    <row r="26" spans="1:15" ht="12.75" customHeight="1">
      <c r="A26" s="1" t="s">
        <v>669</v>
      </c>
      <c r="B26" s="1" t="s">
        <v>670</v>
      </c>
      <c r="C26" s="1" t="s">
        <v>507</v>
      </c>
      <c r="D26" s="1" t="s">
        <v>377</v>
      </c>
      <c r="E26" s="13">
        <v>42822</v>
      </c>
      <c r="F26" s="13">
        <v>42853</v>
      </c>
      <c r="G26" s="1"/>
      <c r="H26" s="13">
        <v>42853</v>
      </c>
      <c r="I26" s="1">
        <v>431.98</v>
      </c>
      <c r="J26" s="1">
        <v>431.98</v>
      </c>
      <c r="K26" s="1">
        <v>0</v>
      </c>
      <c r="L26" s="1"/>
      <c r="M26" s="1" t="s">
        <v>500</v>
      </c>
      <c r="N26" s="1" t="s">
        <v>496</v>
      </c>
      <c r="O26" s="2"/>
    </row>
    <row r="27" spans="1:15" ht="12.75" customHeight="1">
      <c r="A27" s="1" t="s">
        <v>671</v>
      </c>
      <c r="B27" s="1" t="s">
        <v>672</v>
      </c>
      <c r="C27" s="1" t="s">
        <v>507</v>
      </c>
      <c r="D27" s="1" t="s">
        <v>104</v>
      </c>
      <c r="E27" s="13">
        <v>42822</v>
      </c>
      <c r="F27" s="13">
        <v>42851</v>
      </c>
      <c r="G27" s="1"/>
      <c r="H27" s="13">
        <v>42852</v>
      </c>
      <c r="I27" s="1">
        <v>833.54</v>
      </c>
      <c r="J27" s="1">
        <v>786.82</v>
      </c>
      <c r="K27" s="1">
        <v>0</v>
      </c>
      <c r="L27" s="1"/>
      <c r="M27" s="1" t="s">
        <v>500</v>
      </c>
      <c r="N27" s="1" t="s">
        <v>496</v>
      </c>
      <c r="O27" s="2"/>
    </row>
    <row r="28" spans="1:15" ht="12.75" customHeight="1">
      <c r="A28" s="1" t="s">
        <v>673</v>
      </c>
      <c r="B28" s="1" t="s">
        <v>674</v>
      </c>
      <c r="C28" s="1" t="s">
        <v>507</v>
      </c>
      <c r="D28" s="1" t="s">
        <v>112</v>
      </c>
      <c r="E28" s="13">
        <v>42822</v>
      </c>
      <c r="F28" s="13">
        <v>42853</v>
      </c>
      <c r="G28" s="1"/>
      <c r="H28" s="13">
        <v>42853</v>
      </c>
      <c r="I28" s="1">
        <v>28.31</v>
      </c>
      <c r="J28" s="1">
        <v>28.31</v>
      </c>
      <c r="K28" s="1">
        <v>0</v>
      </c>
      <c r="L28" s="1"/>
      <c r="M28" s="1" t="s">
        <v>500</v>
      </c>
      <c r="N28" s="1" t="s">
        <v>496</v>
      </c>
      <c r="O28" s="2"/>
    </row>
    <row r="29" spans="1:15" ht="12.75" customHeight="1">
      <c r="A29" s="1" t="s">
        <v>675</v>
      </c>
      <c r="B29" s="1" t="s">
        <v>676</v>
      </c>
      <c r="C29" s="1" t="s">
        <v>507</v>
      </c>
      <c r="D29" s="1" t="s">
        <v>108</v>
      </c>
      <c r="E29" s="13">
        <v>42822</v>
      </c>
      <c r="F29" s="13">
        <v>42853</v>
      </c>
      <c r="G29" s="1"/>
      <c r="H29" s="13">
        <v>42853</v>
      </c>
      <c r="I29" s="1">
        <v>135.63</v>
      </c>
      <c r="J29" s="1">
        <v>135.63</v>
      </c>
      <c r="K29" s="1">
        <v>0</v>
      </c>
      <c r="L29" s="1"/>
      <c r="M29" s="1" t="s">
        <v>500</v>
      </c>
      <c r="N29" s="1" t="s">
        <v>496</v>
      </c>
      <c r="O29" s="2"/>
    </row>
    <row r="30" spans="1:15" ht="12.75" customHeight="1">
      <c r="A30" s="1" t="s">
        <v>677</v>
      </c>
      <c r="B30" s="1" t="s">
        <v>678</v>
      </c>
      <c r="C30" s="1" t="s">
        <v>507</v>
      </c>
      <c r="D30" s="1" t="s">
        <v>108</v>
      </c>
      <c r="E30" s="13">
        <v>42822</v>
      </c>
      <c r="F30" s="13">
        <v>42853</v>
      </c>
      <c r="G30" s="1"/>
      <c r="H30" s="13">
        <v>42853</v>
      </c>
      <c r="I30" s="1">
        <v>44.29</v>
      </c>
      <c r="J30" s="1">
        <v>44.29</v>
      </c>
      <c r="K30" s="1">
        <v>0</v>
      </c>
      <c r="L30" s="1"/>
      <c r="M30" s="1" t="s">
        <v>500</v>
      </c>
      <c r="N30" s="1" t="s">
        <v>496</v>
      </c>
      <c r="O30" s="2"/>
    </row>
    <row r="31" spans="1:15" ht="12.75" customHeight="1">
      <c r="A31" s="1" t="s">
        <v>679</v>
      </c>
      <c r="B31" s="1" t="s">
        <v>680</v>
      </c>
      <c r="C31" s="1" t="s">
        <v>507</v>
      </c>
      <c r="D31" s="1" t="s">
        <v>108</v>
      </c>
      <c r="E31" s="13">
        <v>42822</v>
      </c>
      <c r="F31" s="13">
        <v>42853</v>
      </c>
      <c r="G31" s="1"/>
      <c r="H31" s="13">
        <v>42853</v>
      </c>
      <c r="I31" s="1">
        <v>80.74</v>
      </c>
      <c r="J31" s="1">
        <v>80.74</v>
      </c>
      <c r="K31" s="1">
        <v>0</v>
      </c>
      <c r="L31" s="1"/>
      <c r="M31" s="1" t="s">
        <v>500</v>
      </c>
      <c r="N31" s="1" t="s">
        <v>496</v>
      </c>
      <c r="O31" s="2"/>
    </row>
    <row r="32" spans="1:15" ht="12.75" customHeight="1">
      <c r="A32" s="1" t="s">
        <v>681</v>
      </c>
      <c r="B32" s="1" t="s">
        <v>682</v>
      </c>
      <c r="C32" s="1" t="s">
        <v>507</v>
      </c>
      <c r="D32" s="1" t="s">
        <v>97</v>
      </c>
      <c r="E32" s="13">
        <v>42822</v>
      </c>
      <c r="F32" s="13">
        <v>42853</v>
      </c>
      <c r="G32" s="1"/>
      <c r="H32" s="13">
        <v>42853</v>
      </c>
      <c r="I32" s="1">
        <v>724.14</v>
      </c>
      <c r="J32" s="1">
        <v>724.14</v>
      </c>
      <c r="K32" s="1">
        <v>0</v>
      </c>
      <c r="L32" s="1"/>
      <c r="M32" s="1" t="s">
        <v>500</v>
      </c>
      <c r="N32" s="1" t="s">
        <v>496</v>
      </c>
      <c r="O32" s="2"/>
    </row>
    <row r="33" spans="1:15" ht="12.75" customHeight="1">
      <c r="A33" s="1" t="s">
        <v>683</v>
      </c>
      <c r="B33" s="1" t="s">
        <v>684</v>
      </c>
      <c r="C33" s="1" t="s">
        <v>507</v>
      </c>
      <c r="D33" s="1" t="s">
        <v>101</v>
      </c>
      <c r="E33" s="13">
        <v>42822</v>
      </c>
      <c r="F33" s="13">
        <v>42853</v>
      </c>
      <c r="G33" s="1"/>
      <c r="H33" s="13">
        <v>42853</v>
      </c>
      <c r="I33" s="1">
        <v>752.76</v>
      </c>
      <c r="J33" s="1">
        <v>752.76</v>
      </c>
      <c r="K33" s="1">
        <v>0</v>
      </c>
      <c r="L33" s="1"/>
      <c r="M33" s="1" t="s">
        <v>500</v>
      </c>
      <c r="N33" s="1" t="s">
        <v>496</v>
      </c>
      <c r="O33" s="2"/>
    </row>
    <row r="34" spans="1:15" ht="12.75" customHeight="1">
      <c r="A34" s="1" t="s">
        <v>686</v>
      </c>
      <c r="B34" s="1" t="s">
        <v>687</v>
      </c>
      <c r="C34" s="1" t="s">
        <v>507</v>
      </c>
      <c r="D34" s="1" t="s">
        <v>108</v>
      </c>
      <c r="E34" s="13">
        <v>42817</v>
      </c>
      <c r="F34" s="13">
        <v>42853</v>
      </c>
      <c r="G34" s="1"/>
      <c r="H34" s="13">
        <v>42853</v>
      </c>
      <c r="I34" s="1">
        <v>360.33</v>
      </c>
      <c r="J34" s="1">
        <v>360.33</v>
      </c>
      <c r="K34" s="1">
        <v>0</v>
      </c>
      <c r="L34" s="1"/>
      <c r="M34" s="1" t="s">
        <v>500</v>
      </c>
      <c r="N34" s="1" t="s">
        <v>496</v>
      </c>
      <c r="O34" s="2"/>
    </row>
    <row r="35" spans="1:15" ht="12.75" customHeight="1">
      <c r="A35" s="1" t="s">
        <v>688</v>
      </c>
      <c r="B35" s="1" t="s">
        <v>689</v>
      </c>
      <c r="C35" s="1" t="s">
        <v>507</v>
      </c>
      <c r="D35" s="1" t="s">
        <v>113</v>
      </c>
      <c r="E35" s="13">
        <v>42824</v>
      </c>
      <c r="F35" s="13">
        <v>42853</v>
      </c>
      <c r="G35" s="1"/>
      <c r="H35" s="13">
        <v>42853</v>
      </c>
      <c r="I35" s="1">
        <v>198.12</v>
      </c>
      <c r="J35" s="1">
        <v>198.12</v>
      </c>
      <c r="K35" s="1">
        <v>0</v>
      </c>
      <c r="L35" s="1"/>
      <c r="M35" s="1" t="s">
        <v>498</v>
      </c>
      <c r="N35" s="1" t="s">
        <v>496</v>
      </c>
      <c r="O35" s="2"/>
    </row>
    <row r="36" spans="1:15" ht="12.75" customHeight="1">
      <c r="A36" s="1" t="s">
        <v>690</v>
      </c>
      <c r="B36" s="1" t="s">
        <v>691</v>
      </c>
      <c r="C36" s="1" t="s">
        <v>507</v>
      </c>
      <c r="D36" s="1" t="s">
        <v>106</v>
      </c>
      <c r="E36" s="13">
        <v>42824</v>
      </c>
      <c r="F36" s="13">
        <v>42853</v>
      </c>
      <c r="G36" s="1"/>
      <c r="H36" s="13">
        <v>42853</v>
      </c>
      <c r="I36" s="1">
        <v>359.55</v>
      </c>
      <c r="J36" s="1">
        <v>359.55</v>
      </c>
      <c r="K36" s="1">
        <v>0</v>
      </c>
      <c r="L36" s="1"/>
      <c r="M36" s="1" t="s">
        <v>500</v>
      </c>
      <c r="N36" s="1" t="s">
        <v>496</v>
      </c>
      <c r="O36" s="2"/>
    </row>
    <row r="37" spans="1:15" ht="12.75" customHeight="1">
      <c r="A37" s="1" t="s">
        <v>692</v>
      </c>
      <c r="B37" s="1" t="s">
        <v>693</v>
      </c>
      <c r="C37" s="1" t="s">
        <v>507</v>
      </c>
      <c r="D37" s="1" t="s">
        <v>141</v>
      </c>
      <c r="E37" s="13">
        <v>42824</v>
      </c>
      <c r="F37" s="13">
        <v>42839</v>
      </c>
      <c r="G37" s="1"/>
      <c r="H37" s="13">
        <v>42828</v>
      </c>
      <c r="I37" s="1">
        <v>198.42</v>
      </c>
      <c r="J37" s="1">
        <v>198.42</v>
      </c>
      <c r="K37" s="1">
        <v>0</v>
      </c>
      <c r="L37" s="1"/>
      <c r="M37" s="1" t="s">
        <v>500</v>
      </c>
      <c r="N37" s="1" t="s">
        <v>496</v>
      </c>
      <c r="O37" s="2"/>
    </row>
    <row r="38" spans="1:15" ht="12.75" customHeight="1">
      <c r="A38" s="1" t="s">
        <v>694</v>
      </c>
      <c r="B38" s="1" t="s">
        <v>695</v>
      </c>
      <c r="C38" s="1" t="s">
        <v>507</v>
      </c>
      <c r="D38" s="1" t="s">
        <v>102</v>
      </c>
      <c r="E38" s="13">
        <v>42824</v>
      </c>
      <c r="F38" s="13">
        <v>42839</v>
      </c>
      <c r="G38" s="1"/>
      <c r="H38" s="13">
        <v>42828</v>
      </c>
      <c r="I38" s="1">
        <v>27.31</v>
      </c>
      <c r="J38" s="1">
        <v>27.31</v>
      </c>
      <c r="K38" s="1">
        <v>0</v>
      </c>
      <c r="L38" s="1"/>
      <c r="M38" s="1" t="s">
        <v>500</v>
      </c>
      <c r="N38" s="1" t="s">
        <v>496</v>
      </c>
      <c r="O38" s="2"/>
    </row>
    <row r="39" spans="1:15" ht="12.75" customHeight="1">
      <c r="A39" s="1" t="s">
        <v>696</v>
      </c>
      <c r="B39" s="1" t="s">
        <v>697</v>
      </c>
      <c r="C39" s="1" t="s">
        <v>507</v>
      </c>
      <c r="D39" s="1" t="s">
        <v>591</v>
      </c>
      <c r="E39" s="13">
        <v>42824</v>
      </c>
      <c r="F39" s="13">
        <v>42839</v>
      </c>
      <c r="G39" s="1"/>
      <c r="H39" s="13">
        <v>42829</v>
      </c>
      <c r="I39" s="1">
        <v>39.92</v>
      </c>
      <c r="J39" s="1">
        <v>39.92</v>
      </c>
      <c r="K39" s="1">
        <v>0</v>
      </c>
      <c r="L39" s="1"/>
      <c r="M39" s="1" t="s">
        <v>500</v>
      </c>
      <c r="N39" s="1" t="s">
        <v>496</v>
      </c>
      <c r="O39" s="2"/>
    </row>
    <row r="40" spans="1:15" ht="12.75" customHeight="1">
      <c r="A40" s="1" t="s">
        <v>698</v>
      </c>
      <c r="B40" s="1" t="s">
        <v>699</v>
      </c>
      <c r="C40" s="1" t="s">
        <v>507</v>
      </c>
      <c r="D40" s="1" t="s">
        <v>179</v>
      </c>
      <c r="E40" s="13">
        <v>42824</v>
      </c>
      <c r="F40" s="13">
        <v>42838</v>
      </c>
      <c r="G40" s="1"/>
      <c r="H40" s="13">
        <v>42828</v>
      </c>
      <c r="I40" s="1">
        <v>202.95</v>
      </c>
      <c r="J40" s="1">
        <v>202.95</v>
      </c>
      <c r="K40" s="1">
        <v>0</v>
      </c>
      <c r="L40" s="1"/>
      <c r="M40" s="1" t="s">
        <v>500</v>
      </c>
      <c r="N40" s="1" t="s">
        <v>496</v>
      </c>
      <c r="O40" s="2"/>
    </row>
    <row r="41" spans="1:15" ht="12.75" customHeight="1">
      <c r="A41" s="1" t="s">
        <v>700</v>
      </c>
      <c r="B41" s="1" t="s">
        <v>701</v>
      </c>
      <c r="C41" s="1" t="s">
        <v>507</v>
      </c>
      <c r="D41" s="1" t="s">
        <v>512</v>
      </c>
      <c r="E41" s="13">
        <v>42815</v>
      </c>
      <c r="F41" s="13">
        <v>42829</v>
      </c>
      <c r="G41" s="1"/>
      <c r="H41" s="13">
        <v>42829</v>
      </c>
      <c r="I41" s="1">
        <v>29.41</v>
      </c>
      <c r="J41" s="1">
        <v>0</v>
      </c>
      <c r="K41" s="1">
        <v>0</v>
      </c>
      <c r="L41" s="1"/>
      <c r="M41" s="1" t="s">
        <v>500</v>
      </c>
      <c r="N41" s="1" t="s">
        <v>496</v>
      </c>
      <c r="O41" s="2"/>
    </row>
    <row r="42" spans="1:15" ht="12.75" customHeight="1">
      <c r="A42" s="1" t="s">
        <v>703</v>
      </c>
      <c r="B42" s="1" t="s">
        <v>704</v>
      </c>
      <c r="C42" s="1" t="s">
        <v>507</v>
      </c>
      <c r="D42" s="1" t="s">
        <v>609</v>
      </c>
      <c r="E42" s="13">
        <v>42824</v>
      </c>
      <c r="F42" s="13">
        <v>42824</v>
      </c>
      <c r="G42" s="1"/>
      <c r="H42" s="13">
        <v>42831</v>
      </c>
      <c r="I42" s="1">
        <v>544.61</v>
      </c>
      <c r="J42" s="1">
        <v>544.61</v>
      </c>
      <c r="K42" s="1">
        <v>0</v>
      </c>
      <c r="L42" s="1"/>
      <c r="M42" s="1" t="s">
        <v>508</v>
      </c>
      <c r="N42" s="1" t="s">
        <v>496</v>
      </c>
      <c r="O42" s="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sheetProtection/>
  <mergeCells count="3">
    <mergeCell ref="A1:N1"/>
    <mergeCell ref="A2:N2"/>
    <mergeCell ref="A3:N3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B1">
      <selection activeCell="F16" sqref="F16"/>
    </sheetView>
  </sheetViews>
  <sheetFormatPr defaultColWidth="8.8515625" defaultRowHeight="12.75"/>
  <cols>
    <col min="1" max="1" width="4.57421875" style="24" hidden="1" customWidth="1"/>
    <col min="2" max="2" width="44.421875" style="24" bestFit="1" customWidth="1"/>
    <col min="3" max="3" width="2.421875" style="24" customWidth="1"/>
    <col min="4" max="4" width="17.421875" style="103" customWidth="1"/>
    <col min="5" max="5" width="10.421875" style="24" customWidth="1"/>
    <col min="6" max="6" width="23.57421875" style="24" customWidth="1"/>
    <col min="7" max="7" width="9.28125" style="24" hidden="1" customWidth="1"/>
    <col min="8" max="8" width="27.28125" style="24" customWidth="1"/>
    <col min="9" max="9" width="19.28125" style="24" customWidth="1"/>
    <col min="10" max="10" width="22.8515625" style="24" customWidth="1"/>
    <col min="11" max="11" width="8.8515625" style="24" customWidth="1"/>
    <col min="12" max="13" width="18.7109375" style="24" customWidth="1"/>
    <col min="14" max="14" width="25.140625" style="24" customWidth="1"/>
    <col min="15" max="16384" width="8.8515625" style="24" customWidth="1"/>
  </cols>
  <sheetData>
    <row r="1" spans="2:8" ht="15.75">
      <c r="B1" s="312" t="s">
        <v>533</v>
      </c>
      <c r="C1" s="312"/>
      <c r="D1" s="312"/>
      <c r="E1" s="137"/>
      <c r="F1" s="137"/>
      <c r="G1" s="137"/>
      <c r="H1" s="137"/>
    </row>
    <row r="2" spans="2:8" ht="15.75">
      <c r="B2" s="312" t="s">
        <v>1104</v>
      </c>
      <c r="C2" s="312"/>
      <c r="D2" s="312"/>
      <c r="E2" s="137"/>
      <c r="F2" s="137"/>
      <c r="G2" s="137"/>
      <c r="H2" s="137"/>
    </row>
    <row r="3" spans="2:10" ht="15.75">
      <c r="B3" s="313">
        <v>42916</v>
      </c>
      <c r="C3" s="313"/>
      <c r="D3" s="313"/>
      <c r="E3" s="138"/>
      <c r="F3" s="138"/>
      <c r="G3" s="139" t="s">
        <v>716</v>
      </c>
      <c r="H3" s="104" t="s">
        <v>77</v>
      </c>
      <c r="I3" s="104" t="s">
        <v>706</v>
      </c>
      <c r="J3" s="105" t="s">
        <v>708</v>
      </c>
    </row>
    <row r="4" spans="2:10" ht="12.75">
      <c r="B4" s="140" t="s">
        <v>77</v>
      </c>
      <c r="C4" s="140"/>
      <c r="D4" s="141" t="str">
        <f>+TEXT(B3,"DD-MMM-YY")</f>
        <v>30-Jun-17</v>
      </c>
      <c r="H4" s="142" t="s">
        <v>707</v>
      </c>
      <c r="I4" s="143">
        <f>+D9</f>
        <v>33846.41073593596</v>
      </c>
      <c r="J4" s="144">
        <v>1</v>
      </c>
    </row>
    <row r="5" spans="2:14" ht="12.75">
      <c r="B5" s="78" t="s">
        <v>14</v>
      </c>
      <c r="C5" s="164"/>
      <c r="D5" s="133"/>
      <c r="H5" s="145"/>
      <c r="I5" s="146"/>
      <c r="J5" s="147"/>
      <c r="L5" s="104" t="s">
        <v>77</v>
      </c>
      <c r="M5" s="104" t="s">
        <v>706</v>
      </c>
      <c r="N5" s="105" t="s">
        <v>708</v>
      </c>
    </row>
    <row r="6" spans="2:14" ht="12.75">
      <c r="B6" s="148" t="s">
        <v>15</v>
      </c>
      <c r="C6" s="164"/>
      <c r="D6" s="178">
        <f>_xlfn.IFERROR(VLOOKUP(B6,'June P&amp;L Proj working'!A5:Q73,MATCH($B$3,'June P&amp;L Proj working'!$A$5:$S$5),0),"")</f>
        <v>335.1129775835244</v>
      </c>
      <c r="E6" s="148"/>
      <c r="G6" s="25"/>
      <c r="H6" s="112" t="s">
        <v>709</v>
      </c>
      <c r="I6" s="149">
        <f>+D19-D12</f>
        <v>21485.864999999998</v>
      </c>
      <c r="J6" s="114">
        <f>+I6/$I$4</f>
        <v>0.6348048296059846</v>
      </c>
      <c r="K6" s="150"/>
      <c r="L6" s="151" t="s">
        <v>21</v>
      </c>
      <c r="M6" s="152">
        <f aca="true" t="shared" si="0" ref="M6:M11">+VLOOKUP(L6,B$1:D$65536,3,0)</f>
        <v>2885.865</v>
      </c>
      <c r="N6" s="153">
        <f>+M6/$I$4</f>
        <v>0.08526354603786605</v>
      </c>
    </row>
    <row r="7" spans="2:14" ht="12.75">
      <c r="B7" s="148" t="s">
        <v>16</v>
      </c>
      <c r="C7" s="164"/>
      <c r="D7" s="178">
        <f>_xlfn.IFERROR(VLOOKUP(B7,'June P&amp;L Proj working'!A6:Q74,MATCH($B$3,'June P&amp;L Proj working'!$A$5:$S$5),0),"")</f>
        <v>33511.29775835244</v>
      </c>
      <c r="E7" s="148"/>
      <c r="G7" s="25">
        <v>1</v>
      </c>
      <c r="H7" s="154" t="s">
        <v>1011</v>
      </c>
      <c r="I7" s="155">
        <v>3757</v>
      </c>
      <c r="J7" s="156">
        <f>+I7/$I$4</f>
        <v>0.11100143023470009</v>
      </c>
      <c r="K7" s="150"/>
      <c r="L7" s="151" t="s">
        <v>22</v>
      </c>
      <c r="M7" s="152">
        <f t="shared" si="0"/>
        <v>0</v>
      </c>
      <c r="N7" s="153">
        <f aca="true" t="shared" si="1" ref="N7:N12">+M7/$I$4</f>
        <v>0</v>
      </c>
    </row>
    <row r="8" spans="2:14" ht="12.75">
      <c r="B8" s="177" t="s">
        <v>17</v>
      </c>
      <c r="C8" s="164"/>
      <c r="D8" s="178">
        <f>_xlfn.IFERROR(VLOOKUP(B8,'June P&amp;L Proj working'!A7:Q75,MATCH($B$3,'June P&amp;L Proj working'!$A$5:$S$5),0),"")</f>
        <v>0</v>
      </c>
      <c r="E8" s="148"/>
      <c r="G8" s="25">
        <v>2</v>
      </c>
      <c r="H8" s="157" t="s">
        <v>710</v>
      </c>
      <c r="I8" s="158">
        <f>+SUMIF($A$30:$A$64,$G8,$D$30:$D$64)</f>
        <v>804.7890476190477</v>
      </c>
      <c r="J8" s="159">
        <f aca="true" t="shared" si="2" ref="J8:J13">+I8/$I$4</f>
        <v>0.023777677754308345</v>
      </c>
      <c r="K8" s="150"/>
      <c r="L8" s="160" t="s">
        <v>23</v>
      </c>
      <c r="M8" s="152">
        <f t="shared" si="0"/>
        <v>0</v>
      </c>
      <c r="N8" s="153">
        <f t="shared" si="1"/>
        <v>0</v>
      </c>
    </row>
    <row r="9" spans="2:14" ht="12.75">
      <c r="B9" s="179" t="s">
        <v>18</v>
      </c>
      <c r="C9" s="164"/>
      <c r="D9" s="180">
        <f>SUM(D6:D8)</f>
        <v>33846.41073593596</v>
      </c>
      <c r="E9" s="148"/>
      <c r="G9" s="25">
        <v>3</v>
      </c>
      <c r="H9" s="161" t="s">
        <v>711</v>
      </c>
      <c r="I9" s="162">
        <f>+SUMIF($A$30:$A$64,$G9,$D$30:$D$64)</f>
        <v>703.9330980241916</v>
      </c>
      <c r="J9" s="163">
        <f t="shared" si="2"/>
        <v>0.020797865496467557</v>
      </c>
      <c r="K9" s="150"/>
      <c r="L9" s="151" t="s">
        <v>24</v>
      </c>
      <c r="M9" s="152">
        <f t="shared" si="0"/>
        <v>18600</v>
      </c>
      <c r="N9" s="153">
        <f t="shared" si="1"/>
        <v>0.5495412835681186</v>
      </c>
    </row>
    <row r="10" spans="2:14" ht="12.75">
      <c r="B10" s="164"/>
      <c r="D10" s="118">
        <f>_xlfn.IFERROR(VLOOKUP(B10,'June P&amp;L Proj working'!A9:Q77,MATCH($B$3,'June P&amp;L Proj working'!$A$5:$S$5),0),"")</f>
      </c>
      <c r="E10" s="148"/>
      <c r="G10" s="25">
        <v>4</v>
      </c>
      <c r="H10" s="123" t="s">
        <v>712</v>
      </c>
      <c r="I10" s="165">
        <f>+SUMIF($A$30:$A$64,$G10,$D$30:$D$64)</f>
        <v>1928.2685714285715</v>
      </c>
      <c r="J10" s="125">
        <f t="shared" si="2"/>
        <v>0.0569711390218774</v>
      </c>
      <c r="K10" s="150"/>
      <c r="L10" s="151" t="s">
        <v>25</v>
      </c>
      <c r="M10" s="152">
        <f t="shared" si="0"/>
        <v>0</v>
      </c>
      <c r="N10" s="153">
        <f t="shared" si="1"/>
        <v>0</v>
      </c>
    </row>
    <row r="11" spans="2:14" ht="12.75">
      <c r="B11" s="78" t="s">
        <v>19</v>
      </c>
      <c r="C11" s="164"/>
      <c r="D11" s="133">
        <f>_xlfn.IFERROR(VLOOKUP(B11,'June P&amp;L Proj working'!A10:Q78,MATCH($B$3,'June P&amp;L Proj working'!$A$5:$S$5),0),"")</f>
        <v>0</v>
      </c>
      <c r="E11" s="148"/>
      <c r="G11" s="25">
        <v>5</v>
      </c>
      <c r="H11" s="166" t="s">
        <v>713</v>
      </c>
      <c r="I11" s="167">
        <f>+SUMIF($A$30:$A$64,$G13,$D$30:$D$64)+D32</f>
        <v>7650.032977583524</v>
      </c>
      <c r="J11" s="168">
        <f t="shared" si="2"/>
        <v>0.22602198612041327</v>
      </c>
      <c r="K11" s="150"/>
      <c r="L11" s="151" t="s">
        <v>26</v>
      </c>
      <c r="M11" s="152">
        <f t="shared" si="0"/>
        <v>0</v>
      </c>
      <c r="N11" s="153">
        <f t="shared" si="1"/>
        <v>0</v>
      </c>
    </row>
    <row r="12" spans="2:14" ht="12.75">
      <c r="B12" s="148" t="s">
        <v>20</v>
      </c>
      <c r="C12" s="164"/>
      <c r="D12" s="178">
        <f>_xlfn.IFERROR(VLOOKUP(B12,'June P&amp;L Proj working'!A11:Q79,MATCH($B$3,'June P&amp;L Proj working'!$A$5:$S$5),0),"")</f>
        <v>1500</v>
      </c>
      <c r="E12" s="148"/>
      <c r="G12" s="25">
        <v>6</v>
      </c>
      <c r="I12" s="169"/>
      <c r="J12" s="150"/>
      <c r="K12" s="150"/>
      <c r="L12" s="170" t="s">
        <v>27</v>
      </c>
      <c r="M12" s="152">
        <f>SUM(M6:M11)</f>
        <v>21485.864999999998</v>
      </c>
      <c r="N12" s="153">
        <f t="shared" si="1"/>
        <v>0.6348048296059846</v>
      </c>
    </row>
    <row r="13" spans="2:11" ht="12.75">
      <c r="B13" s="148" t="s">
        <v>21</v>
      </c>
      <c r="C13" s="164"/>
      <c r="D13" s="178">
        <f>_xlfn.IFERROR(VLOOKUP(B13,'June P&amp;L Proj working'!A12:Q80,MATCH($B$3,'June P&amp;L Proj working'!$A$5:$S$5),0),"")</f>
        <v>2885.865</v>
      </c>
      <c r="E13" s="148"/>
      <c r="G13" s="25">
        <v>7</v>
      </c>
      <c r="H13" s="171" t="s">
        <v>70</v>
      </c>
      <c r="I13" s="172">
        <f>+I4-SUM(I6:I11)</f>
        <v>-2483.47795871937</v>
      </c>
      <c r="J13" s="173">
        <f t="shared" si="2"/>
        <v>-0.07337492823375127</v>
      </c>
      <c r="K13" s="150"/>
    </row>
    <row r="14" spans="2:11" ht="12.75">
      <c r="B14" s="148" t="s">
        <v>22</v>
      </c>
      <c r="C14" s="164"/>
      <c r="D14" s="178">
        <f>_xlfn.IFERROR(VLOOKUP(B14,'June P&amp;L Proj working'!A13:Q81,MATCH($B$3,'June P&amp;L Proj working'!$A$5:$S$5),0),"")</f>
        <v>0</v>
      </c>
      <c r="E14" s="148"/>
      <c r="K14" s="150"/>
    </row>
    <row r="15" spans="2:5" ht="12.75">
      <c r="B15" s="177" t="s">
        <v>23</v>
      </c>
      <c r="C15" s="164"/>
      <c r="D15" s="178">
        <f>_xlfn.IFERROR(VLOOKUP(B15,'June P&amp;L Proj working'!A14:Q82,MATCH($B$3,'June P&amp;L Proj working'!$A$5:$S$5),0),"")</f>
        <v>0</v>
      </c>
      <c r="E15" s="148"/>
    </row>
    <row r="16" spans="2:6" ht="12.75">
      <c r="B16" s="148" t="s">
        <v>24</v>
      </c>
      <c r="C16" s="164"/>
      <c r="D16" s="178">
        <f>_xlfn.IFERROR(VLOOKUP(B16,'June P&amp;L Proj working'!A15:Q83,MATCH($B$3,'June P&amp;L Proj working'!$A$5:$S$5),0),"")</f>
        <v>18600</v>
      </c>
      <c r="E16" s="148"/>
      <c r="F16" s="174"/>
    </row>
    <row r="17" spans="2:5" ht="12.75">
      <c r="B17" s="148" t="s">
        <v>25</v>
      </c>
      <c r="C17" s="164"/>
      <c r="D17" s="178">
        <f>_xlfn.IFERROR(VLOOKUP(B17,'June P&amp;L Proj working'!A16:Q84,MATCH($B$3,'June P&amp;L Proj working'!$A$5:$S$5),0),"")</f>
        <v>0</v>
      </c>
      <c r="E17" s="148"/>
    </row>
    <row r="18" spans="2:5" ht="12.75">
      <c r="B18" s="148" t="s">
        <v>26</v>
      </c>
      <c r="C18" s="164"/>
      <c r="D18" s="178">
        <f>_xlfn.IFERROR(VLOOKUP(B18,'June P&amp;L Proj working'!A17:Q85,MATCH($B$3,'June P&amp;L Proj working'!$A$5:$S$5),0),"")</f>
        <v>0</v>
      </c>
      <c r="E18" s="148"/>
    </row>
    <row r="19" spans="2:5" ht="12.75">
      <c r="B19" s="179" t="s">
        <v>27</v>
      </c>
      <c r="C19" s="164"/>
      <c r="D19" s="180">
        <f>SUM(D11:D18)</f>
        <v>22985.864999999998</v>
      </c>
      <c r="E19" s="148"/>
    </row>
    <row r="20" spans="2:5" ht="12.75">
      <c r="B20" s="164"/>
      <c r="D20" s="118">
        <f>_xlfn.IFERROR(VLOOKUP(B20,'June P&amp;L Proj working'!A19:Q87,MATCH($B$3,'June P&amp;L Proj working'!$A$5:$S$5),0),"")</f>
      </c>
      <c r="E20" s="148"/>
    </row>
    <row r="21" spans="2:5" ht="13.5" thickBot="1">
      <c r="B21" s="175" t="s">
        <v>28</v>
      </c>
      <c r="D21" s="176">
        <f>+D9-D19</f>
        <v>10860.545735935964</v>
      </c>
      <c r="E21" s="148"/>
    </row>
    <row r="22" spans="2:5" ht="13.5" thickTop="1">
      <c r="B22" s="164"/>
      <c r="D22" s="133">
        <f>_xlfn.IFERROR(VLOOKUP(B22,'June P&amp;L Proj working'!A21:Q89,MATCH($B$3,'June P&amp;L Proj working'!$A$5:$S$5),0),"")</f>
      </c>
      <c r="E22" s="148"/>
    </row>
    <row r="23" spans="2:5" ht="12.75">
      <c r="B23" s="164"/>
      <c r="D23" s="133">
        <f>_xlfn.IFERROR(VLOOKUP(B23,'June P&amp;L Proj working'!A22:Q90,MATCH($B$3,'June P&amp;L Proj working'!$A$5:$S$5),0),"")</f>
      </c>
      <c r="E23" s="148"/>
    </row>
    <row r="24" spans="2:5" ht="12.75">
      <c r="B24" s="78" t="s">
        <v>29</v>
      </c>
      <c r="D24" s="118">
        <f>_xlfn.IFERROR(VLOOKUP(B24,'June P&amp;L Proj working'!A23:Q91,MATCH($B$3,'June P&amp;L Proj working'!$A$5:$S$5),0),"")</f>
        <v>0</v>
      </c>
      <c r="E24" s="148"/>
    </row>
    <row r="25" spans="2:5" ht="12.75">
      <c r="B25" s="177" t="s">
        <v>30</v>
      </c>
      <c r="D25" s="178">
        <f>_xlfn.IFERROR(VLOOKUP(B25,'June P&amp;L Proj working'!A24:Q92,MATCH($B$3,'June P&amp;L Proj working'!$A$5:$S$5),0),"")</f>
        <v>0</v>
      </c>
      <c r="E25" s="148"/>
    </row>
    <row r="26" spans="2:5" ht="12.75">
      <c r="B26" s="148" t="s">
        <v>31</v>
      </c>
      <c r="D26" s="178">
        <f>_xlfn.IFERROR(VLOOKUP(B26,'June P&amp;L Proj working'!A25:Q93,MATCH($B$3,'June P&amp;L Proj working'!$A$5:$S$5),0),"")</f>
        <v>0</v>
      </c>
      <c r="E26" s="148"/>
    </row>
    <row r="27" spans="2:5" ht="12.75">
      <c r="B27" s="179" t="s">
        <v>32</v>
      </c>
      <c r="D27" s="180">
        <f>_xlfn.IFERROR(VLOOKUP(B27,'June P&amp;L Proj working'!A26:Q94,MATCH($B$3,'June P&amp;L Proj working'!$A$5:$S$5),0),"")</f>
        <v>0</v>
      </c>
      <c r="E27" s="148"/>
    </row>
    <row r="28" spans="2:5" ht="12.75">
      <c r="B28" s="164"/>
      <c r="D28" s="118">
        <f>_xlfn.IFERROR(VLOOKUP(B28,'June P&amp;L Proj working'!A27:Q95,MATCH($B$3,'June P&amp;L Proj working'!$A$5:$S$5),0),"")</f>
      </c>
      <c r="E28" s="148"/>
    </row>
    <row r="29" spans="2:5" ht="12.75">
      <c r="B29" s="78" t="s">
        <v>33</v>
      </c>
      <c r="D29" s="118">
        <f>_xlfn.IFERROR(VLOOKUP(B29,'June P&amp;L Proj working'!A28:Q96,MATCH($B$3,'June P&amp;L Proj working'!$A$5:$S$5),0),"")</f>
        <v>0</v>
      </c>
      <c r="E29" s="181"/>
    </row>
    <row r="30" spans="1:5" ht="12.75">
      <c r="A30" s="181">
        <v>7</v>
      </c>
      <c r="B30" s="148" t="s">
        <v>34</v>
      </c>
      <c r="C30" s="164"/>
      <c r="D30" s="178">
        <f>_xlfn.IFERROR(VLOOKUP(B30,'June P&amp;L Proj working'!A29:Q97,MATCH($B$3,'June P&amp;L Proj working'!$A$5:$S$5),0),"")</f>
        <v>5018</v>
      </c>
      <c r="E30" s="182"/>
    </row>
    <row r="31" spans="1:5" ht="12.75">
      <c r="A31" s="181">
        <v>3</v>
      </c>
      <c r="B31" s="148" t="s">
        <v>35</v>
      </c>
      <c r="C31" s="164"/>
      <c r="D31" s="178">
        <f>_xlfn.IFERROR(VLOOKUP(B31,'June P&amp;L Proj working'!A30:Q98,MATCH($B$3,'June P&amp;L Proj working'!$A$5:$S$5),0),"")</f>
        <v>670.2259551670488</v>
      </c>
      <c r="E31" s="182"/>
    </row>
    <row r="32" spans="1:5" ht="12.75">
      <c r="A32" s="181">
        <v>5</v>
      </c>
      <c r="B32" s="148" t="s">
        <v>36</v>
      </c>
      <c r="C32" s="164"/>
      <c r="D32" s="178">
        <f>_xlfn.IFERROR(VLOOKUP(B32,'June P&amp;L Proj working'!A31:Q99,MATCH($B$3,'June P&amp;L Proj working'!$A$5:$S$5),0),"")</f>
        <v>335.1129775835244</v>
      </c>
      <c r="E32" s="182"/>
    </row>
    <row r="33" spans="1:5" ht="12.75">
      <c r="A33" s="181">
        <v>5</v>
      </c>
      <c r="B33" s="148" t="s">
        <v>37</v>
      </c>
      <c r="C33" s="164"/>
      <c r="D33" s="178">
        <f>_xlfn.IFERROR(VLOOKUP(B33,'June P&amp;L Proj working'!A32:Q100,MATCH($B$3,'June P&amp;L Proj working'!$A$5:$S$5),0),"")</f>
        <v>0</v>
      </c>
      <c r="E33" s="182"/>
    </row>
    <row r="34" spans="1:5" ht="12.75">
      <c r="A34" s="181">
        <v>4</v>
      </c>
      <c r="B34" s="177" t="s">
        <v>38</v>
      </c>
      <c r="C34" s="164"/>
      <c r="D34" s="178">
        <f>_xlfn.IFERROR(VLOOKUP(B34,'June P&amp;L Proj working'!A33:Q101,MATCH($B$3,'June P&amp;L Proj working'!$A$5:$S$5),0),"")</f>
        <v>450.79142857142864</v>
      </c>
      <c r="E34" s="182"/>
    </row>
    <row r="35" spans="1:5" ht="12.75">
      <c r="A35" s="181">
        <v>2</v>
      </c>
      <c r="B35" s="177" t="s">
        <v>39</v>
      </c>
      <c r="C35" s="164"/>
      <c r="D35" s="178">
        <f>_xlfn.IFERROR(VLOOKUP(B35,'June P&amp;L Proj working'!A34:Q102,MATCH($B$3,'June P&amp;L Proj working'!$A$5:$S$5),0),"")</f>
        <v>0</v>
      </c>
      <c r="E35" s="182"/>
    </row>
    <row r="36" spans="1:5" ht="12.75">
      <c r="A36" s="181">
        <v>3</v>
      </c>
      <c r="B36" s="177" t="s">
        <v>40</v>
      </c>
      <c r="C36" s="164"/>
      <c r="D36" s="178">
        <f>_xlfn.IFERROR(VLOOKUP(B36,'June P&amp;L Proj working'!A35:Q103,MATCH($B$3,'June P&amp;L Proj working'!$A$5:$S$5),0),"")</f>
        <v>33.707142857142856</v>
      </c>
      <c r="E36" s="182"/>
    </row>
    <row r="37" spans="1:5" ht="12.75">
      <c r="A37" s="181">
        <v>2</v>
      </c>
      <c r="B37" s="177" t="s">
        <v>41</v>
      </c>
      <c r="C37" s="164"/>
      <c r="D37" s="178">
        <f>_xlfn.IFERROR(VLOOKUP(B37,'June P&amp;L Proj working'!A36:Q104,MATCH($B$3,'June P&amp;L Proj working'!$A$5:$S$5),0),"")</f>
        <v>196.66</v>
      </c>
      <c r="E37" s="182"/>
    </row>
    <row r="38" spans="1:5" ht="12.75">
      <c r="A38" s="181">
        <v>7</v>
      </c>
      <c r="B38" s="177" t="s">
        <v>42</v>
      </c>
      <c r="C38" s="164"/>
      <c r="D38" s="178">
        <f>_xlfn.IFERROR(VLOOKUP(B38,'June P&amp;L Proj working'!A37:Q105,MATCH($B$3,'June P&amp;L Proj working'!$A$5:$S$5),0),"")</f>
        <v>2296.92</v>
      </c>
      <c r="E38" s="182"/>
    </row>
    <row r="39" spans="1:5" ht="12.75">
      <c r="A39" s="181">
        <v>7</v>
      </c>
      <c r="B39" s="177" t="s">
        <v>43</v>
      </c>
      <c r="C39" s="164"/>
      <c r="D39" s="178">
        <f>_xlfn.IFERROR(VLOOKUP(B39,'June P&amp;L Proj working'!A38:Q106,MATCH($B$3,'June P&amp;L Proj working'!$A$5:$S$5),0),"")</f>
        <v>0</v>
      </c>
      <c r="E39" s="182"/>
    </row>
    <row r="40" spans="1:5" ht="12.75">
      <c r="A40" s="181">
        <v>1</v>
      </c>
      <c r="B40" s="177" t="s">
        <v>44</v>
      </c>
      <c r="C40" s="164"/>
      <c r="D40" s="178">
        <f>_xlfn.IFERROR(VLOOKUP(B40,'June P&amp;L Proj working'!A39:Q107,MATCH($B$3,'June P&amp;L Proj working'!$A$5:$S$5),0),"")</f>
        <v>0</v>
      </c>
      <c r="E40" s="182"/>
    </row>
    <row r="41" spans="1:5" ht="12.75">
      <c r="A41" s="181">
        <v>2</v>
      </c>
      <c r="B41" s="177" t="s">
        <v>45</v>
      </c>
      <c r="C41" s="164"/>
      <c r="D41" s="178">
        <f>_xlfn.IFERROR(VLOOKUP(B41,'June P&amp;L Proj working'!A40:Q108,MATCH($B$3,'June P&amp;L Proj working'!$A$5:$S$5),0),"")</f>
        <v>0</v>
      </c>
      <c r="E41" s="182"/>
    </row>
    <row r="42" spans="1:5" ht="12.75">
      <c r="A42" s="181">
        <v>2</v>
      </c>
      <c r="B42" s="177" t="s">
        <v>46</v>
      </c>
      <c r="C42" s="164"/>
      <c r="D42" s="178">
        <f>_xlfn.IFERROR(VLOOKUP(B42,'June P&amp;L Proj working'!A41:Q109,MATCH($B$3,'June P&amp;L Proj working'!$A$5:$S$5),0),"")</f>
        <v>91.67</v>
      </c>
      <c r="E42" s="182"/>
    </row>
    <row r="43" spans="1:5" ht="12.75">
      <c r="A43" s="181">
        <v>2</v>
      </c>
      <c r="B43" s="177" t="s">
        <v>47</v>
      </c>
      <c r="C43" s="164"/>
      <c r="D43" s="178">
        <f>_xlfn.IFERROR(VLOOKUP(B43,'June P&amp;L Proj working'!A42:Q110,MATCH($B$3,'June P&amp;L Proj working'!$A$5:$S$5),0),"")</f>
        <v>0</v>
      </c>
      <c r="E43" s="182"/>
    </row>
    <row r="44" spans="1:5" ht="12.75">
      <c r="A44" s="181">
        <v>2</v>
      </c>
      <c r="B44" s="148" t="s">
        <v>48</v>
      </c>
      <c r="C44" s="164"/>
      <c r="D44" s="178">
        <f>_xlfn.IFERROR(VLOOKUP(B44,'June P&amp;L Proj working'!A43:Q111,MATCH($B$3,'June P&amp;L Proj working'!$A$5:$S$5),0),"")</f>
        <v>0</v>
      </c>
      <c r="E44" s="182"/>
    </row>
    <row r="45" spans="1:5" ht="12.75">
      <c r="A45" s="181">
        <v>2</v>
      </c>
      <c r="B45" s="148" t="s">
        <v>49</v>
      </c>
      <c r="C45" s="164"/>
      <c r="D45" s="178">
        <f>_xlfn.IFERROR(VLOOKUP(B45,'June P&amp;L Proj working'!A44:Q112,MATCH($B$3,'June P&amp;L Proj working'!$A$5:$S$5),0),"")</f>
        <v>153.10833333333335</v>
      </c>
      <c r="E45" s="182"/>
    </row>
    <row r="46" spans="1:5" ht="12.75">
      <c r="A46" s="181">
        <v>2</v>
      </c>
      <c r="B46" s="177" t="s">
        <v>50</v>
      </c>
      <c r="C46" s="164"/>
      <c r="D46" s="178">
        <f>_xlfn.IFERROR(VLOOKUP(B46,'June P&amp;L Proj working'!A45:Q113,MATCH($B$3,'June P&amp;L Proj working'!$A$5:$S$5),0),"")</f>
        <v>0</v>
      </c>
      <c r="E46" s="182"/>
    </row>
    <row r="47" spans="1:5" ht="12.75">
      <c r="A47" s="181">
        <v>2</v>
      </c>
      <c r="B47" s="177" t="s">
        <v>51</v>
      </c>
      <c r="C47" s="164"/>
      <c r="D47" s="178">
        <f>_xlfn.IFERROR(VLOOKUP(B47,'June P&amp;L Proj working'!A46:Q114,MATCH($B$3,'June P&amp;L Proj working'!$A$5:$S$5),0),"")</f>
        <v>0</v>
      </c>
      <c r="E47" s="182"/>
    </row>
    <row r="48" spans="1:5" ht="12.75">
      <c r="A48" s="181">
        <v>2</v>
      </c>
      <c r="B48" s="177" t="s">
        <v>52</v>
      </c>
      <c r="C48" s="164"/>
      <c r="D48" s="178">
        <f>_xlfn.IFERROR(VLOOKUP(B48,'June P&amp;L Proj working'!A47:Q115,MATCH($B$3,'June P&amp;L Proj working'!$A$5:$S$5),0),"")</f>
        <v>0</v>
      </c>
      <c r="E48" s="182"/>
    </row>
    <row r="49" spans="1:5" ht="12.75">
      <c r="A49" s="181">
        <v>2</v>
      </c>
      <c r="B49" s="177" t="s">
        <v>53</v>
      </c>
      <c r="C49" s="164"/>
      <c r="D49" s="178">
        <f>_xlfn.IFERROR(VLOOKUP(B49,'June P&amp;L Proj working'!A48:Q116,MATCH($B$3,'June P&amp;L Proj working'!$A$5:$S$5),0),"")</f>
        <v>9.125714285714285</v>
      </c>
      <c r="E49" s="182"/>
    </row>
    <row r="50" spans="1:5" ht="12.75">
      <c r="A50" s="181">
        <v>2</v>
      </c>
      <c r="B50" s="177" t="s">
        <v>54</v>
      </c>
      <c r="C50" s="164"/>
      <c r="D50" s="178">
        <f>_xlfn.IFERROR(VLOOKUP(B50,'June P&amp;L Proj working'!A49:Q117,MATCH($B$3,'June P&amp;L Proj working'!$A$5:$S$5),0),"")</f>
        <v>21.888571428571428</v>
      </c>
      <c r="E50" s="182"/>
    </row>
    <row r="51" spans="1:5" ht="12.75">
      <c r="A51" s="181">
        <v>2</v>
      </c>
      <c r="B51" s="177" t="s">
        <v>55</v>
      </c>
      <c r="C51" s="164"/>
      <c r="D51" s="178">
        <f>_xlfn.IFERROR(VLOOKUP(B51,'June P&amp;L Proj working'!A50:Q118,MATCH($B$3,'June P&amp;L Proj working'!$A$5:$S$5),0),"")</f>
        <v>187.07142857142858</v>
      </c>
      <c r="E51" s="182"/>
    </row>
    <row r="52" spans="1:5" ht="12.75">
      <c r="A52" s="181">
        <v>2</v>
      </c>
      <c r="B52" s="148" t="s">
        <v>56</v>
      </c>
      <c r="C52" s="164"/>
      <c r="D52" s="178">
        <f>_xlfn.IFERROR(VLOOKUP(B52,'June P&amp;L Proj working'!A51:Q119,MATCH($B$3,'June P&amp;L Proj working'!$A$5:$S$5),0),"")</f>
        <v>0</v>
      </c>
      <c r="E52" s="182"/>
    </row>
    <row r="53" spans="1:5" ht="12.75">
      <c r="A53" s="181">
        <v>2</v>
      </c>
      <c r="B53" s="177" t="s">
        <v>57</v>
      </c>
      <c r="C53" s="164"/>
      <c r="D53" s="178">
        <f>_xlfn.IFERROR(VLOOKUP(B53,'June P&amp;L Proj working'!A52:Q120,MATCH($B$3,'June P&amp;L Proj working'!$A$5:$S$5),0),"")</f>
        <v>0</v>
      </c>
      <c r="E53" s="182"/>
    </row>
    <row r="54" spans="1:5" ht="12.75">
      <c r="A54" s="181">
        <v>3</v>
      </c>
      <c r="B54" s="148" t="s">
        <v>58</v>
      </c>
      <c r="C54" s="164"/>
      <c r="D54" s="178">
        <f>_xlfn.IFERROR(VLOOKUP(B54,'June P&amp;L Proj working'!A53:Q121,MATCH($B$3,'June P&amp;L Proj working'!$A$5:$S$5),0),"")</f>
        <v>0</v>
      </c>
      <c r="E54" s="182"/>
    </row>
    <row r="55" spans="1:5" ht="12.75">
      <c r="A55" s="181">
        <v>6</v>
      </c>
      <c r="B55" s="177" t="s">
        <v>59</v>
      </c>
      <c r="C55" s="164"/>
      <c r="D55" s="178">
        <f>_xlfn.IFERROR(VLOOKUP(B55,'June P&amp;L Proj working'!A54:Q122,MATCH($B$3,'June P&amp;L Proj working'!$A$5:$S$5),0),"")</f>
        <v>0</v>
      </c>
      <c r="E55" s="182"/>
    </row>
    <row r="56" spans="1:5" ht="12.75">
      <c r="A56" s="181">
        <v>2</v>
      </c>
      <c r="B56" s="148" t="s">
        <v>60</v>
      </c>
      <c r="C56" s="164"/>
      <c r="D56" s="178">
        <f>_xlfn.IFERROR(VLOOKUP(B56,'June P&amp;L Proj working'!A55:Q123,MATCH($B$3,'June P&amp;L Proj working'!$A$5:$S$5),0),"")</f>
        <v>0</v>
      </c>
      <c r="E56" s="182"/>
    </row>
    <row r="57" spans="1:5" ht="12.75">
      <c r="A57" s="181">
        <v>2</v>
      </c>
      <c r="B57" s="177" t="s">
        <v>61</v>
      </c>
      <c r="C57" s="164"/>
      <c r="D57" s="178">
        <f>_xlfn.IFERROR(VLOOKUP(B57,'June P&amp;L Proj working'!A56:Q124,MATCH($B$3,'June P&amp;L Proj working'!$A$5:$S$5),0),"")</f>
        <v>0</v>
      </c>
      <c r="E57" s="182"/>
    </row>
    <row r="58" spans="1:5" ht="12.75">
      <c r="A58" s="181">
        <v>2</v>
      </c>
      <c r="B58" s="148" t="s">
        <v>62</v>
      </c>
      <c r="C58" s="164"/>
      <c r="D58" s="178">
        <f>_xlfn.IFERROR(VLOOKUP(B58,'June P&amp;L Proj working'!A57:Q125,MATCH($B$3,'June P&amp;L Proj working'!$A$5:$S$5),0),"")</f>
        <v>145.26500000000001</v>
      </c>
      <c r="E58" s="182"/>
    </row>
    <row r="59" spans="1:5" ht="12.75">
      <c r="A59" s="181">
        <v>2</v>
      </c>
      <c r="B59" s="177" t="s">
        <v>63</v>
      </c>
      <c r="C59" s="164"/>
      <c r="D59" s="178">
        <f>_xlfn.IFERROR(VLOOKUP(B59,'June P&amp;L Proj working'!A58:Q126,MATCH($B$3,'June P&amp;L Proj working'!$A$5:$S$5),0),"")</f>
        <v>0</v>
      </c>
      <c r="E59" s="182"/>
    </row>
    <row r="60" spans="1:5" ht="12.75">
      <c r="A60" s="181">
        <v>3</v>
      </c>
      <c r="B60" s="177" t="s">
        <v>64</v>
      </c>
      <c r="C60" s="164"/>
      <c r="D60" s="178">
        <f>_xlfn.IFERROR(VLOOKUP(B60,'June P&amp;L Proj working'!A59:Q127,MATCH($B$3,'June P&amp;L Proj working'!$A$5:$S$5),0),"")</f>
        <v>0</v>
      </c>
      <c r="E60" s="182"/>
    </row>
    <row r="61" spans="1:5" ht="12.75">
      <c r="A61" s="181">
        <v>2</v>
      </c>
      <c r="B61" s="177" t="s">
        <v>65</v>
      </c>
      <c r="C61" s="164"/>
      <c r="D61" s="178">
        <f>_xlfn.IFERROR(VLOOKUP(B61,'June P&amp;L Proj working'!A60:Q128,MATCH($B$3,'June P&amp;L Proj working'!$A$5:$S$5),0),"")</f>
        <v>0</v>
      </c>
      <c r="E61" s="182"/>
    </row>
    <row r="62" spans="1:5" ht="12.75">
      <c r="A62" s="181">
        <v>4</v>
      </c>
      <c r="B62" s="148" t="s">
        <v>66</v>
      </c>
      <c r="C62" s="164"/>
      <c r="D62" s="178">
        <f>_xlfn.IFERROR(VLOOKUP(B62,'June P&amp;L Proj working'!A61:Q129,MATCH($B$3,'June P&amp;L Proj working'!$A$5:$S$5),0),"")</f>
        <v>1477.4771428571428</v>
      </c>
      <c r="E62" s="182"/>
    </row>
    <row r="63" spans="1:5" ht="12.75">
      <c r="A63" s="181">
        <v>1</v>
      </c>
      <c r="B63" s="293" t="s">
        <v>67</v>
      </c>
      <c r="C63" s="164"/>
      <c r="D63" s="178">
        <f>_xlfn.IFERROR(VLOOKUP(B63,'June P&amp;L Proj working'!A62:Q130,MATCH($B$3,'June P&amp;L Proj working'!$A$5:$S$5),0),"")</f>
        <v>2257.485</v>
      </c>
      <c r="E63" s="182"/>
    </row>
    <row r="64" spans="1:5" ht="12.75">
      <c r="A64" s="181">
        <v>1</v>
      </c>
      <c r="B64" s="177" t="s">
        <v>68</v>
      </c>
      <c r="C64" s="164"/>
      <c r="D64" s="178">
        <f>_xlfn.IFERROR(VLOOKUP(B64,'June P&amp;L Proj working'!A63:Q131,MATCH($B$3,'June P&amp;L Proj working'!$A$5:$S$5),0),"")</f>
        <v>0</v>
      </c>
      <c r="E64" s="182"/>
    </row>
    <row r="65" spans="2:5" ht="12.75">
      <c r="B65" s="179" t="s">
        <v>69</v>
      </c>
      <c r="D65" s="180">
        <f>+SUM(D29:D64)</f>
        <v>13344.508694655335</v>
      </c>
      <c r="E65" s="183"/>
    </row>
    <row r="66" spans="2:5" ht="12.75">
      <c r="B66" s="164"/>
      <c r="D66" s="118">
        <f>_xlfn.IFERROR(VLOOKUP(B66,'June P&amp;L Proj working'!A65:Q133,MATCH($B$3,'June P&amp;L Proj working'!$A$5:$S$5),0),"")</f>
      </c>
      <c r="E66" s="148"/>
    </row>
    <row r="67" spans="2:5" ht="13.5" thickBot="1">
      <c r="B67" s="175" t="s">
        <v>1009</v>
      </c>
      <c r="D67" s="176">
        <f>+D21+D27-D65</f>
        <v>-2483.9629587193704</v>
      </c>
      <c r="E67" s="183"/>
    </row>
    <row r="68" spans="4:5" ht="13.5" thickTop="1">
      <c r="D68" s="103">
        <f>_xlfn.IFERROR(VLOOKUP(B68,'June P&amp;L Proj working'!A67:Q135,MATCH(B65,'June P&amp;L Proj working'!$A$5:$S$5),0),"")</f>
      </c>
      <c r="E68" s="148"/>
    </row>
    <row r="69" spans="4:5" ht="12.75">
      <c r="D69" s="103">
        <f>_xlfn.IFERROR(VLOOKUP(B69,'June P&amp;L Proj working'!A68:Q136,MATCH(B66,'June P&amp;L Proj working'!$A$5:$S$5),0),"")</f>
      </c>
      <c r="E69" s="148"/>
    </row>
    <row r="70" ht="12.75">
      <c r="E70" s="148"/>
    </row>
    <row r="71" ht="12.75">
      <c r="E71" s="148"/>
    </row>
    <row r="72" ht="12.75">
      <c r="E72" s="148"/>
    </row>
    <row r="73" ht="12.75">
      <c r="E73" s="148"/>
    </row>
    <row r="74" ht="12.75">
      <c r="E74" s="148"/>
    </row>
    <row r="75" ht="12.75">
      <c r="E75" s="148"/>
    </row>
    <row r="76" ht="12.75">
      <c r="E76" s="148"/>
    </row>
  </sheetData>
  <sheetProtection/>
  <mergeCells count="3">
    <mergeCell ref="B1:D1"/>
    <mergeCell ref="B2:D2"/>
    <mergeCell ref="B3:D3"/>
  </mergeCells>
  <printOptions/>
  <pageMargins left="0.75" right="0.75" top="1" bottom="1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E44" sqref="E44"/>
    </sheetView>
  </sheetViews>
  <sheetFormatPr defaultColWidth="8.8515625" defaultRowHeight="12.75"/>
  <cols>
    <col min="1" max="1" width="28.00390625" style="24" bestFit="1" customWidth="1"/>
    <col min="2" max="2" width="32.28125" style="24" bestFit="1" customWidth="1"/>
    <col min="3" max="3" width="21.28125" style="103" customWidth="1"/>
    <col min="4" max="4" width="8.8515625" style="24" customWidth="1"/>
    <col min="5" max="5" width="16.8515625" style="24" customWidth="1"/>
    <col min="6" max="6" width="12.8515625" style="24" customWidth="1"/>
    <col min="7" max="7" width="13.140625" style="24" bestFit="1" customWidth="1"/>
    <col min="8" max="16384" width="8.8515625" style="24" customWidth="1"/>
  </cols>
  <sheetData>
    <row r="1" spans="1:3" ht="15.75">
      <c r="A1" s="312" t="s">
        <v>535</v>
      </c>
      <c r="B1" s="312"/>
      <c r="C1" s="312"/>
    </row>
    <row r="2" spans="1:3" ht="15.75">
      <c r="A2" s="312" t="s">
        <v>1104</v>
      </c>
      <c r="B2" s="312"/>
      <c r="C2" s="312"/>
    </row>
    <row r="3" spans="1:3" ht="16.5" thickBot="1">
      <c r="A3" s="313">
        <v>42916</v>
      </c>
      <c r="B3" s="313"/>
      <c r="C3" s="313"/>
    </row>
    <row r="4" spans="1:3" ht="12.75">
      <c r="A4" s="184" t="s">
        <v>93</v>
      </c>
      <c r="B4" s="185" t="s">
        <v>537</v>
      </c>
      <c r="C4" s="186" t="str">
        <f>+TEXT(A3,"DD-MMM-YY")</f>
        <v>30-Jun-17</v>
      </c>
    </row>
    <row r="5" spans="1:5" ht="12.75">
      <c r="A5" s="187">
        <v>1</v>
      </c>
      <c r="B5" s="188" t="s">
        <v>1108</v>
      </c>
      <c r="C5" s="189">
        <f>+VLOOKUP(B5,'June Sales Projection-Working'!B:T,MATCH($A$3,'June Sales Projection-Working'!$B$5:$AF$5,1),0)</f>
        <v>0</v>
      </c>
      <c r="D5" s="190"/>
      <c r="E5" s="190"/>
    </row>
    <row r="6" spans="1:5" ht="12.75">
      <c r="A6" s="187">
        <v>2</v>
      </c>
      <c r="B6" s="188" t="s">
        <v>1109</v>
      </c>
      <c r="C6" s="189">
        <f>+VLOOKUP(B6,'June Sales Projection-Working'!B:T,MATCH($A$3,'June Sales Projection-Working'!$B$5:$AF$5,1),0)</f>
        <v>449.2333333333333</v>
      </c>
      <c r="D6" s="190"/>
      <c r="E6" s="190"/>
    </row>
    <row r="7" spans="1:5" ht="12.75">
      <c r="A7" s="187">
        <v>3</v>
      </c>
      <c r="B7" s="188" t="s">
        <v>1110</v>
      </c>
      <c r="C7" s="189">
        <f>+VLOOKUP(B7,'June Sales Projection-Working'!B:T,MATCH($A$3,'June Sales Projection-Working'!$B$5:$AF$5,1),0)</f>
        <v>612.5425</v>
      </c>
      <c r="D7" s="190"/>
      <c r="E7" s="190"/>
    </row>
    <row r="8" spans="1:5" ht="12.75">
      <c r="A8" s="187">
        <v>4</v>
      </c>
      <c r="B8" s="188" t="s">
        <v>1111</v>
      </c>
      <c r="C8" s="189">
        <f>+VLOOKUP(B8,'June Sales Projection-Working'!B:T,MATCH($A$3,'June Sales Projection-Working'!$B$5:$AF$5,1),0)</f>
        <v>4582</v>
      </c>
      <c r="D8" s="190"/>
      <c r="E8" s="190"/>
    </row>
    <row r="9" spans="1:5" ht="12.75">
      <c r="A9" s="187">
        <v>5</v>
      </c>
      <c r="B9" s="188" t="s">
        <v>1112</v>
      </c>
      <c r="C9" s="189">
        <f>+VLOOKUP(B9,'June Sales Projection-Working'!B:T,MATCH($A$3,'June Sales Projection-Working'!$B$5:$AF$5,1),0)</f>
        <v>2373</v>
      </c>
      <c r="D9" s="190"/>
      <c r="E9" s="190"/>
    </row>
    <row r="10" spans="1:5" ht="12.75">
      <c r="A10" s="187">
        <v>6</v>
      </c>
      <c r="B10" s="188" t="s">
        <v>1113</v>
      </c>
      <c r="C10" s="189">
        <f>+VLOOKUP(B10,'June Sales Projection-Working'!B:T,MATCH($A$3,'June Sales Projection-Working'!$B$5:$AF$5,1),0)</f>
        <v>1595</v>
      </c>
      <c r="D10" s="190"/>
      <c r="E10" s="190"/>
    </row>
    <row r="11" spans="1:5" ht="12.75">
      <c r="A11" s="187">
        <v>7</v>
      </c>
      <c r="B11" s="188" t="s">
        <v>1114</v>
      </c>
      <c r="C11" s="189">
        <f>+VLOOKUP(B11,'June Sales Projection-Working'!B:T,MATCH($A$3,'June Sales Projection-Working'!$B$5:$AF$5,1),0)</f>
        <v>912</v>
      </c>
      <c r="D11" s="190"/>
      <c r="E11" s="190"/>
    </row>
    <row r="12" spans="1:5" ht="12.75">
      <c r="A12" s="187">
        <v>8</v>
      </c>
      <c r="B12" s="188" t="s">
        <v>1115</v>
      </c>
      <c r="C12" s="189">
        <f>+VLOOKUP(B12,'June Sales Projection-Working'!B:T,MATCH($A$3,'June Sales Projection-Working'!$B$5:$AF$5,1),0)</f>
        <v>706</v>
      </c>
      <c r="D12" s="190"/>
      <c r="E12" s="190"/>
    </row>
    <row r="13" spans="1:5" ht="12.75">
      <c r="A13" s="187">
        <v>9</v>
      </c>
      <c r="B13" s="188" t="s">
        <v>1116</v>
      </c>
      <c r="C13" s="189">
        <f>+VLOOKUP(B13,'June Sales Projection-Working'!B:T,MATCH($A$3,'June Sales Projection-Working'!$B$5:$AF$5,1),0)</f>
        <v>0</v>
      </c>
      <c r="D13" s="190"/>
      <c r="E13" s="190"/>
    </row>
    <row r="14" spans="1:5" ht="12.75">
      <c r="A14" s="187">
        <v>10</v>
      </c>
      <c r="B14" s="188" t="s">
        <v>1117</v>
      </c>
      <c r="C14" s="189">
        <f>+VLOOKUP(B14,'June Sales Projection-Working'!B:T,MATCH($A$3,'June Sales Projection-Working'!$B$5:$AF$5,1),0)</f>
        <v>0</v>
      </c>
      <c r="D14" s="190"/>
      <c r="E14" s="190"/>
    </row>
    <row r="15" spans="1:5" ht="12.75">
      <c r="A15" s="187">
        <v>11</v>
      </c>
      <c r="B15" s="188" t="s">
        <v>1118</v>
      </c>
      <c r="C15" s="189">
        <f>+VLOOKUP(B15,'June Sales Projection-Working'!B:T,MATCH($A$3,'June Sales Projection-Working'!$B$5:$AF$5,1),0)</f>
        <v>577.5208333333334</v>
      </c>
      <c r="D15" s="190"/>
      <c r="E15" s="190"/>
    </row>
    <row r="16" spans="1:5" ht="12.75">
      <c r="A16" s="187">
        <v>12</v>
      </c>
      <c r="B16" s="188" t="s">
        <v>1119</v>
      </c>
      <c r="C16" s="189">
        <f>+VLOOKUP(B16,'June Sales Projection-Working'!B:T,MATCH($A$3,'June Sales Projection-Working'!$B$5:$AF$5,1),0)</f>
        <v>407.30285714285714</v>
      </c>
      <c r="D16" s="190"/>
      <c r="E16" s="190"/>
    </row>
    <row r="17" spans="1:5" ht="12.75">
      <c r="A17" s="187">
        <v>13</v>
      </c>
      <c r="B17" s="188" t="s">
        <v>1120</v>
      </c>
      <c r="C17" s="189">
        <f>+VLOOKUP(B17,'June Sales Projection-Working'!B:T,MATCH($A$3,'June Sales Projection-Working'!$B$5:$AF$5,1),0)</f>
        <v>880.2508333333335</v>
      </c>
      <c r="D17" s="190"/>
      <c r="E17" s="190"/>
    </row>
    <row r="18" spans="1:5" ht="12.75">
      <c r="A18" s="187">
        <v>14</v>
      </c>
      <c r="B18" s="188" t="s">
        <v>1121</v>
      </c>
      <c r="C18" s="189">
        <f>+VLOOKUP(B18,'June Sales Projection-Working'!B:T,MATCH($A$3,'June Sales Projection-Working'!$B$5:$AF$5,1),0)</f>
        <v>581.9625</v>
      </c>
      <c r="D18" s="190"/>
      <c r="E18" s="190"/>
    </row>
    <row r="19" spans="1:5" ht="12.75">
      <c r="A19" s="187">
        <v>15</v>
      </c>
      <c r="B19" s="188" t="s">
        <v>1122</v>
      </c>
      <c r="C19" s="189">
        <f>+VLOOKUP(B19,'June Sales Projection-Working'!B:T,MATCH($A$3,'June Sales Projection-Working'!$B$5:$AF$5,1),0)</f>
        <v>1904.3912500000001</v>
      </c>
      <c r="D19" s="190"/>
      <c r="E19" s="190"/>
    </row>
    <row r="20" spans="1:5" ht="12.75">
      <c r="A20" s="187">
        <v>16</v>
      </c>
      <c r="B20" s="188" t="s">
        <v>1123</v>
      </c>
      <c r="C20" s="189">
        <f>+VLOOKUP(B20,'June Sales Projection-Working'!B:T,MATCH($A$3,'June Sales Projection-Working'!$B$5:$AF$5,1),0)</f>
        <v>619.2683333333333</v>
      </c>
      <c r="D20" s="190"/>
      <c r="E20" s="190"/>
    </row>
    <row r="21" spans="1:5" ht="12.75">
      <c r="A21" s="187">
        <v>17</v>
      </c>
      <c r="B21" s="188" t="s">
        <v>1124</v>
      </c>
      <c r="C21" s="189">
        <f>+VLOOKUP(B21,'June Sales Projection-Working'!B:T,MATCH($A$3,'June Sales Projection-Working'!$B$5:$AF$5,1),0)</f>
        <v>1778.3645</v>
      </c>
      <c r="D21" s="190"/>
      <c r="E21" s="190"/>
    </row>
    <row r="22" spans="1:5" ht="12.75">
      <c r="A22" s="187">
        <v>18</v>
      </c>
      <c r="B22" s="188" t="s">
        <v>1125</v>
      </c>
      <c r="C22" s="189">
        <f>+VLOOKUP(B22,'June Sales Projection-Working'!B:T,MATCH($A$3,'June Sales Projection-Working'!$B$5:$AF$5,1),0)</f>
        <v>702.0841666666666</v>
      </c>
      <c r="D22" s="190"/>
      <c r="E22" s="190"/>
    </row>
    <row r="23" spans="1:5" ht="12.75">
      <c r="A23" s="187">
        <v>19</v>
      </c>
      <c r="B23" s="188" t="s">
        <v>1126</v>
      </c>
      <c r="C23" s="189">
        <f>+VLOOKUP(B23,'June Sales Projection-Working'!B:T,MATCH($A$3,'June Sales Projection-Working'!$B$5:$AF$5,1),0)</f>
        <v>647.42625</v>
      </c>
      <c r="D23" s="190"/>
      <c r="E23" s="190"/>
    </row>
    <row r="24" spans="1:5" ht="12.75">
      <c r="A24" s="58"/>
      <c r="B24" s="174"/>
      <c r="C24" s="178"/>
      <c r="D24" s="190"/>
      <c r="E24" s="190"/>
    </row>
    <row r="25" spans="1:5" ht="12.75">
      <c r="A25" s="58"/>
      <c r="B25" s="174"/>
      <c r="C25" s="178"/>
      <c r="D25" s="190"/>
      <c r="E25" s="190"/>
    </row>
    <row r="26" spans="1:3" ht="12.75">
      <c r="A26" s="57"/>
      <c r="B26" s="191"/>
      <c r="C26" s="192"/>
    </row>
    <row r="27" spans="1:4" ht="12.75">
      <c r="A27" s="193"/>
      <c r="B27" s="194" t="s">
        <v>482</v>
      </c>
      <c r="C27" s="178">
        <f>+SUM(C5:C26)</f>
        <v>19328.34735714286</v>
      </c>
      <c r="D27" s="195"/>
    </row>
    <row r="28" spans="1:4" ht="19.5" customHeight="1">
      <c r="A28" s="193"/>
      <c r="B28" s="194" t="s">
        <v>1129</v>
      </c>
      <c r="C28" s="178">
        <f>+C30-C27</f>
        <v>14182.950401209582</v>
      </c>
      <c r="D28" s="195"/>
    </row>
    <row r="29" spans="1:3" ht="12.75">
      <c r="A29" s="54"/>
      <c r="B29" s="196"/>
      <c r="C29" s="197"/>
    </row>
    <row r="30" spans="1:3" ht="13.5" thickBot="1">
      <c r="A30" s="198"/>
      <c r="B30" s="199" t="s">
        <v>12</v>
      </c>
      <c r="C30" s="200">
        <f>+'June Sales Projection-Working'!T30</f>
        <v>33511.29775835244</v>
      </c>
    </row>
    <row r="31" spans="2:3" ht="12.75">
      <c r="B31" s="40"/>
      <c r="C31" s="118"/>
    </row>
    <row r="32" spans="2:3" ht="12.75">
      <c r="B32" s="40"/>
      <c r="C32" s="118"/>
    </row>
    <row r="33" spans="2:3" ht="12.75" hidden="1">
      <c r="B33" s="196" t="s">
        <v>118</v>
      </c>
      <c r="C33" s="118">
        <f>_xlfn.IFERROR(VLOOKUP($B33,'June Sales Projection-Working'!$B$5:$T$52,15,0),"")</f>
        <v>0</v>
      </c>
    </row>
    <row r="34" spans="2:3" ht="12.75" hidden="1">
      <c r="B34" s="196" t="s">
        <v>117</v>
      </c>
      <c r="C34" s="118">
        <f>_xlfn.IFERROR(VLOOKUP($B34,'June Sales Projection-Working'!$B$5:$T$52,15,0),"")</f>
        <v>0</v>
      </c>
    </row>
    <row r="35" spans="2:3" ht="12.75" hidden="1">
      <c r="B35" s="40"/>
      <c r="C35" s="197">
        <f>_xlfn.IFERROR(VLOOKUP($B35,'June Sales Projection-Working'!$B$5:$T$52,15,0),"")</f>
      </c>
    </row>
    <row r="36" spans="2:3" ht="12.75">
      <c r="B36" s="201" t="s">
        <v>483</v>
      </c>
      <c r="C36" s="202">
        <f>+C27/C30</f>
        <v>0.5767710787125638</v>
      </c>
    </row>
    <row r="37" spans="2:3" ht="12.75">
      <c r="B37" s="201" t="s">
        <v>484</v>
      </c>
      <c r="C37" s="202">
        <f>+C28/C30</f>
        <v>0.4232289212874362</v>
      </c>
    </row>
    <row r="38" spans="2:3" ht="12.75">
      <c r="B38" s="196"/>
      <c r="C38" s="197">
        <f>_xlfn.IFERROR(VLOOKUP($B38,'June Sales Projection-Working'!$B$5:$T$52,15,0),"")</f>
      </c>
    </row>
    <row r="39" spans="2:3" ht="13.5" thickBot="1">
      <c r="B39" s="203" t="s">
        <v>510</v>
      </c>
      <c r="C39" s="197">
        <f>+'June Sales Projection-Working'!T39</f>
        <v>40213.55731002293</v>
      </c>
    </row>
    <row r="40" spans="2:3" ht="13.5" thickTop="1">
      <c r="B40" s="40"/>
      <c r="C40" s="204">
        <f>_xlfn.IFERROR(VLOOKUP($B40,'June Sales Projection-Working'!$B$5:$T$52,15,0),"")</f>
      </c>
    </row>
    <row r="41" spans="2:3" ht="12.75">
      <c r="B41" s="40"/>
      <c r="C41" s="118">
        <f>_xlfn.IFERROR(VLOOKUP($B41,'June Sales Projection-Working'!$B$5:$T$52,15,0),"")</f>
      </c>
    </row>
    <row r="42" spans="1:3" ht="12.75">
      <c r="A42" s="314" t="s">
        <v>521</v>
      </c>
      <c r="B42" s="314"/>
      <c r="C42" s="118"/>
    </row>
    <row r="43" spans="2:3" ht="12.75">
      <c r="B43" s="40"/>
      <c r="C43" s="118">
        <f>_xlfn.IFERROR(VLOOKUP($B43,'June Sales Projection-Working'!$B$5:$T$52,15,0),"")</f>
      </c>
    </row>
    <row r="44" spans="2:3" ht="12.75">
      <c r="B44" s="196" t="s">
        <v>511</v>
      </c>
      <c r="C44" s="178">
        <f>+VLOOKUP(B44,'June Sales Projection-Working'!B:T,MATCH($A$3,'June Sales Projection-Working'!$B$5:$AF$5,1),0)</f>
        <v>29294.833000000002</v>
      </c>
    </row>
    <row r="45" spans="2:3" ht="12.75">
      <c r="B45" s="196" t="s">
        <v>486</v>
      </c>
      <c r="C45" s="178">
        <f>+VLOOKUP(B45,'June Sales Projection-Working'!B:T,MATCH($A$3,'June Sales Projection-Working'!$B$5:$AF$5,1),0)</f>
        <v>14781.035184886365</v>
      </c>
    </row>
    <row r="46" spans="2:3" ht="12.75">
      <c r="B46" s="196" t="s">
        <v>513</v>
      </c>
      <c r="C46" s="178">
        <f>+VLOOKUP(B46,'June Sales Projection-Working'!B:T,MATCH($A$3,'June Sales Projection-Working'!$B$5:$AF$5,1),0)</f>
        <v>23068.69919644625</v>
      </c>
    </row>
    <row r="47" spans="2:3" ht="12.75">
      <c r="B47" s="196" t="s">
        <v>514</v>
      </c>
      <c r="C47" s="178">
        <f>+VLOOKUP(B47,'June Sales Projection-Working'!B:T,MATCH($A$3,'June Sales Projection-Working'!$B$5:$AF$5,1),0)</f>
        <v>2087.8825745805443</v>
      </c>
    </row>
    <row r="48" spans="2:3" ht="12.75">
      <c r="B48" s="40"/>
      <c r="C48" s="118"/>
    </row>
    <row r="49" spans="2:3" ht="13.5" thickBot="1">
      <c r="B49" s="203" t="s">
        <v>536</v>
      </c>
      <c r="C49" s="205">
        <f>+C44+C45</f>
        <v>44075.86818488636</v>
      </c>
    </row>
    <row r="50" spans="2:3" ht="13.5" thickTop="1">
      <c r="B50" s="40"/>
      <c r="C50" s="103">
        <f>_xlfn.IFERROR(VLOOKUP($B50,'June Sales Projection-Working'!$B$5:$T$52,15,0),"")</f>
      </c>
    </row>
  </sheetData>
  <sheetProtection/>
  <mergeCells count="4">
    <mergeCell ref="A1:C1"/>
    <mergeCell ref="A2:C2"/>
    <mergeCell ref="A3:C3"/>
    <mergeCell ref="A42:B42"/>
  </mergeCells>
  <conditionalFormatting sqref="B24:B25">
    <cfRule type="duplicateValues" priority="20" dxfId="0" stopIfTrue="1">
      <formula>AND(COUNTIF($B$24:$B$25,B24)&gt;1,NOT(ISBLANK(B24)))</formula>
    </cfRule>
  </conditionalFormatting>
  <conditionalFormatting sqref="B5:B23">
    <cfRule type="duplicateValues" priority="1" dxfId="0" stopIfTrue="1">
      <formula>AND(COUNTIF($B$5:$B$23,B5)&gt;1,NOT(ISBLANK(B5)))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="115" zoomScaleNormal="115" zoomScaleSheetLayoutView="70" workbookViewId="0" topLeftCell="A1">
      <selection activeCell="D15" sqref="D15"/>
    </sheetView>
  </sheetViews>
  <sheetFormatPr defaultColWidth="9.140625" defaultRowHeight="12.75"/>
  <cols>
    <col min="1" max="1" width="16.00390625" style="20" customWidth="1"/>
    <col min="2" max="2" width="18.8515625" style="20" customWidth="1"/>
    <col min="3" max="3" width="12.28125" style="86" bestFit="1" customWidth="1"/>
    <col min="4" max="4" width="15.8515625" style="22" bestFit="1" customWidth="1"/>
    <col min="5" max="5" width="9.57421875" style="20" bestFit="1" customWidth="1"/>
    <col min="6" max="6" width="11.28125" style="17" customWidth="1"/>
    <col min="7" max="7" width="2.00390625" style="17" customWidth="1"/>
    <col min="8" max="8" width="9.140625" style="17" customWidth="1"/>
    <col min="9" max="9" width="9.57421875" style="17" bestFit="1" customWidth="1"/>
    <col min="10" max="10" width="13.8515625" style="17" customWidth="1"/>
    <col min="11" max="11" width="7.140625" style="17" customWidth="1"/>
    <col min="12" max="12" width="45.00390625" style="17" customWidth="1"/>
    <col min="13" max="13" width="12.00390625" style="17" bestFit="1" customWidth="1"/>
    <col min="14" max="14" width="10.28125" style="17" bestFit="1" customWidth="1"/>
    <col min="15" max="16384" width="9.140625" style="17" customWidth="1"/>
  </cols>
  <sheetData>
    <row r="1" spans="1:13" ht="12.75" customHeight="1">
      <c r="A1" s="316" t="s">
        <v>1083</v>
      </c>
      <c r="B1" s="316"/>
      <c r="C1" s="316"/>
      <c r="D1" s="316"/>
      <c r="E1" s="316"/>
      <c r="F1" s="316"/>
      <c r="I1" s="317" t="s">
        <v>1086</v>
      </c>
      <c r="J1" s="317"/>
      <c r="K1" s="26"/>
      <c r="L1" s="317" t="s">
        <v>1095</v>
      </c>
      <c r="M1" s="317"/>
    </row>
    <row r="2" spans="1:13" ht="12.75" customHeight="1">
      <c r="A2" s="316"/>
      <c r="B2" s="316"/>
      <c r="C2" s="316"/>
      <c r="D2" s="316"/>
      <c r="E2" s="316"/>
      <c r="F2" s="316"/>
      <c r="I2" s="26"/>
      <c r="J2" s="26"/>
      <c r="K2" s="26"/>
      <c r="L2" s="29"/>
      <c r="M2" s="29"/>
    </row>
    <row r="3" spans="1:13" ht="23.25">
      <c r="A3" s="315">
        <v>42916</v>
      </c>
      <c r="B3" s="315"/>
      <c r="C3" s="315"/>
      <c r="D3" s="315"/>
      <c r="E3" s="315"/>
      <c r="F3" s="315"/>
      <c r="I3" s="30" t="str">
        <f>+D7</f>
        <v>1st Week</v>
      </c>
      <c r="J3" s="95">
        <f>+C17</f>
        <v>2807.7455</v>
      </c>
      <c r="K3" s="26"/>
      <c r="L3" s="24" t="s">
        <v>24</v>
      </c>
      <c r="M3" s="99">
        <f aca="true" t="shared" si="0" ref="M3:M18">SUMIF($A$7:$C$54,L3,$C$7:$C$54)</f>
        <v>16000</v>
      </c>
    </row>
    <row r="4" spans="1:13" s="18" customFormat="1" ht="15.75" thickBot="1">
      <c r="A4" s="19"/>
      <c r="B4" s="19"/>
      <c r="C4" s="84"/>
      <c r="D4" s="21"/>
      <c r="E4" s="19"/>
      <c r="I4" s="31" t="str">
        <f>+D23</f>
        <v>2nd Week</v>
      </c>
      <c r="J4" s="96">
        <f>+C27</f>
        <v>13241.3355</v>
      </c>
      <c r="K4" s="26"/>
      <c r="L4" s="24" t="s">
        <v>1087</v>
      </c>
      <c r="M4" s="99">
        <f t="shared" si="0"/>
        <v>2600</v>
      </c>
    </row>
    <row r="5" spans="1:13" ht="15.75" thickBot="1">
      <c r="A5" s="36" t="s">
        <v>1059</v>
      </c>
      <c r="B5" s="37" t="s">
        <v>1012</v>
      </c>
      <c r="C5" s="85" t="s">
        <v>706</v>
      </c>
      <c r="D5" s="37" t="s">
        <v>1060</v>
      </c>
      <c r="E5" s="38" t="s">
        <v>493</v>
      </c>
      <c r="F5" s="36" t="s">
        <v>1103</v>
      </c>
      <c r="I5" s="32" t="str">
        <f>+D29</f>
        <v>3rd Week</v>
      </c>
      <c r="J5" s="97">
        <f>+C40</f>
        <v>6009.595499999999</v>
      </c>
      <c r="K5" s="26"/>
      <c r="L5" s="24" t="s">
        <v>34</v>
      </c>
      <c r="M5" s="99">
        <f t="shared" si="0"/>
        <v>5018</v>
      </c>
    </row>
    <row r="6" spans="9:13" ht="12.75">
      <c r="I6" s="33" t="str">
        <f>+D48</f>
        <v>4th Week</v>
      </c>
      <c r="J6" s="98">
        <f>+C55</f>
        <v>12732.4655</v>
      </c>
      <c r="K6" s="26"/>
      <c r="L6" s="26" t="str">
        <f>+A7</f>
        <v>Advertising and marketing</v>
      </c>
      <c r="M6" s="99">
        <f t="shared" si="0"/>
        <v>825</v>
      </c>
    </row>
    <row r="7" spans="1:13" ht="12.75">
      <c r="A7" s="27" t="s">
        <v>35</v>
      </c>
      <c r="B7" s="40" t="s">
        <v>1013</v>
      </c>
      <c r="C7" s="90">
        <v>9</v>
      </c>
      <c r="D7" s="41" t="s">
        <v>1061</v>
      </c>
      <c r="E7" s="41" t="s">
        <v>1063</v>
      </c>
      <c r="F7" s="42" t="s">
        <v>1036</v>
      </c>
      <c r="G7" s="43"/>
      <c r="I7" s="26"/>
      <c r="J7" s="26"/>
      <c r="K7" s="26"/>
      <c r="L7" s="26" t="str">
        <f>+A9</f>
        <v>Computer and IT Expenses</v>
      </c>
      <c r="M7" s="99">
        <f t="shared" si="0"/>
        <v>1277.25</v>
      </c>
    </row>
    <row r="8" spans="1:13" ht="12.75">
      <c r="A8" s="27" t="s">
        <v>35</v>
      </c>
      <c r="B8" s="40" t="s">
        <v>1014</v>
      </c>
      <c r="C8" s="90">
        <v>15</v>
      </c>
      <c r="D8" s="41" t="s">
        <v>1061</v>
      </c>
      <c r="E8" s="41" t="s">
        <v>1074</v>
      </c>
      <c r="F8" s="42" t="s">
        <v>1036</v>
      </c>
      <c r="G8" s="43"/>
      <c r="I8" s="34" t="s">
        <v>12</v>
      </c>
      <c r="J8" s="35">
        <f>SUM(J3:J7)</f>
        <v>34791.142</v>
      </c>
      <c r="K8" s="26"/>
      <c r="L8" s="26" t="str">
        <f>+A13</f>
        <v>Equipment Hire</v>
      </c>
      <c r="M8" s="99">
        <f t="shared" si="0"/>
        <v>180</v>
      </c>
    </row>
    <row r="9" spans="1:13" ht="12.75">
      <c r="A9" s="27" t="s">
        <v>42</v>
      </c>
      <c r="B9" s="40" t="s">
        <v>87</v>
      </c>
      <c r="C9" s="90">
        <v>24</v>
      </c>
      <c r="D9" s="41" t="s">
        <v>1061</v>
      </c>
      <c r="E9" s="41" t="s">
        <v>1063</v>
      </c>
      <c r="F9" s="42" t="s">
        <v>1036</v>
      </c>
      <c r="G9" s="43"/>
      <c r="I9" s="26"/>
      <c r="J9" s="26"/>
      <c r="K9" s="26"/>
      <c r="L9" s="26" t="str">
        <f>+A14</f>
        <v>Car Hire, Tube, Rail, Taxi</v>
      </c>
      <c r="M9" s="99">
        <f t="shared" si="0"/>
        <v>425.59</v>
      </c>
    </row>
    <row r="10" spans="1:13" ht="12.75">
      <c r="A10" s="27" t="s">
        <v>35</v>
      </c>
      <c r="B10" s="40" t="s">
        <v>1015</v>
      </c>
      <c r="C10" s="90">
        <v>225</v>
      </c>
      <c r="D10" s="41" t="s">
        <v>1061</v>
      </c>
      <c r="E10" s="41" t="s">
        <v>1075</v>
      </c>
      <c r="F10" s="42" t="s">
        <v>1036</v>
      </c>
      <c r="G10" s="43"/>
      <c r="I10" s="26"/>
      <c r="J10" s="26"/>
      <c r="K10" s="26"/>
      <c r="L10" s="26" t="str">
        <f>+A15</f>
        <v>Freight &amp; Carriage</v>
      </c>
      <c r="M10" s="99">
        <f t="shared" si="0"/>
        <v>3089.392</v>
      </c>
    </row>
    <row r="11" spans="1:13" ht="12.75">
      <c r="A11" s="27" t="s">
        <v>35</v>
      </c>
      <c r="B11" s="40" t="s">
        <v>1017</v>
      </c>
      <c r="C11" s="90">
        <f>((552+24)*10)/10</f>
        <v>576</v>
      </c>
      <c r="D11" s="41" t="s">
        <v>1061</v>
      </c>
      <c r="E11" s="41" t="s">
        <v>1064</v>
      </c>
      <c r="F11" s="42" t="s">
        <v>1036</v>
      </c>
      <c r="G11" s="43"/>
      <c r="I11" s="26"/>
      <c r="J11" s="26"/>
      <c r="K11" s="26"/>
      <c r="L11" s="26" t="str">
        <f>+A29</f>
        <v>General Office Expenses and Small Equipment (7507)</v>
      </c>
      <c r="M11" s="99">
        <f t="shared" si="0"/>
        <v>17.98</v>
      </c>
    </row>
    <row r="12" spans="1:13" ht="12.75">
      <c r="A12" s="27" t="s">
        <v>42</v>
      </c>
      <c r="B12" s="40" t="s">
        <v>1016</v>
      </c>
      <c r="C12" s="90">
        <v>600</v>
      </c>
      <c r="D12" s="41" t="s">
        <v>1061</v>
      </c>
      <c r="E12" s="41" t="s">
        <v>1063</v>
      </c>
      <c r="F12" s="42" t="s">
        <v>1036</v>
      </c>
      <c r="G12" s="43"/>
      <c r="I12" s="26"/>
      <c r="J12" s="26"/>
      <c r="K12" s="26"/>
      <c r="L12" s="26" t="str">
        <f>+A32</f>
        <v>Bank Charges</v>
      </c>
      <c r="M12" s="99">
        <f t="shared" si="0"/>
        <v>20</v>
      </c>
    </row>
    <row r="13" spans="1:13" ht="25.5">
      <c r="A13" s="27" t="s">
        <v>47</v>
      </c>
      <c r="B13" s="40" t="s">
        <v>1028</v>
      </c>
      <c r="C13" s="90">
        <v>180</v>
      </c>
      <c r="D13" s="41" t="s">
        <v>1061</v>
      </c>
      <c r="E13" s="41" t="s">
        <v>1081</v>
      </c>
      <c r="F13" s="42" t="s">
        <v>1036</v>
      </c>
      <c r="G13" s="43"/>
      <c r="I13" s="26"/>
      <c r="J13" s="26"/>
      <c r="K13" s="26"/>
      <c r="L13" s="26" t="str">
        <f>+A33</f>
        <v>Telephone</v>
      </c>
      <c r="M13" s="99">
        <f t="shared" si="0"/>
        <v>28.440000000000005</v>
      </c>
    </row>
    <row r="14" spans="1:13" ht="12.75">
      <c r="A14" s="27" t="s">
        <v>38</v>
      </c>
      <c r="B14" s="40" t="s">
        <v>1085</v>
      </c>
      <c r="C14" s="90">
        <f>((_xlfn.IFERROR(VLOOKUP($A14,Payments!$A:$M,MATCH($A$3,Payments!$6:$6,1),0),0)/4)*10)/10</f>
        <v>106.3975</v>
      </c>
      <c r="D14" s="41" t="s">
        <v>1061</v>
      </c>
      <c r="E14" s="41"/>
      <c r="F14" s="42" t="s">
        <v>1084</v>
      </c>
      <c r="G14" s="43"/>
      <c r="I14" s="26"/>
      <c r="J14" s="26"/>
      <c r="K14" s="26"/>
      <c r="L14" s="26" t="str">
        <f>+A35</f>
        <v>Wages</v>
      </c>
      <c r="M14" s="99">
        <f t="shared" si="0"/>
        <v>2208.33</v>
      </c>
    </row>
    <row r="15" spans="1:13" ht="12.75">
      <c r="A15" s="27" t="s">
        <v>21</v>
      </c>
      <c r="B15" s="40" t="s">
        <v>1089</v>
      </c>
      <c r="C15" s="90">
        <f>((_xlfn.IFERROR(VLOOKUP($A15,Payments!$A:$M,MATCH($A$3,Payments!$6:$6,1),0),0)/4)*10)/10</f>
        <v>772.348</v>
      </c>
      <c r="D15" s="41" t="s">
        <v>1061</v>
      </c>
      <c r="E15" s="41" t="s">
        <v>1092</v>
      </c>
      <c r="F15" s="42" t="s">
        <v>1084</v>
      </c>
      <c r="G15" s="43"/>
      <c r="I15" s="26"/>
      <c r="J15" s="26"/>
      <c r="K15" s="26"/>
      <c r="L15" s="26" t="str">
        <f>+A43</f>
        <v>Gas</v>
      </c>
      <c r="M15" s="99">
        <f t="shared" si="0"/>
        <v>9.49</v>
      </c>
    </row>
    <row r="16" spans="1:13" ht="12.75">
      <c r="A16" s="27" t="s">
        <v>1097</v>
      </c>
      <c r="B16" s="40" t="s">
        <v>1099</v>
      </c>
      <c r="C16" s="90">
        <v>300</v>
      </c>
      <c r="D16" s="41" t="s">
        <v>1061</v>
      </c>
      <c r="E16" s="41" t="s">
        <v>1094</v>
      </c>
      <c r="F16" s="42" t="s">
        <v>1036</v>
      </c>
      <c r="G16" s="43"/>
      <c r="I16" s="26"/>
      <c r="J16" s="26"/>
      <c r="K16" s="26"/>
      <c r="L16" s="26" t="s">
        <v>46</v>
      </c>
      <c r="M16" s="99">
        <f t="shared" si="0"/>
        <v>91.67</v>
      </c>
    </row>
    <row r="17" spans="1:13" ht="13.5" thickBot="1">
      <c r="A17" s="27"/>
      <c r="B17" s="40"/>
      <c r="C17" s="91">
        <f>SUM(C7:C16)</f>
        <v>2807.7455</v>
      </c>
      <c r="D17" s="41"/>
      <c r="E17" s="41"/>
      <c r="F17" s="42"/>
      <c r="G17" s="43"/>
      <c r="I17" s="26"/>
      <c r="J17" s="26"/>
      <c r="K17" s="26"/>
      <c r="L17" s="24" t="s">
        <v>20</v>
      </c>
      <c r="M17" s="99">
        <f t="shared" si="0"/>
        <v>1800</v>
      </c>
    </row>
    <row r="18" spans="1:13" ht="13.5" thickTop="1">
      <c r="A18" s="27"/>
      <c r="B18" s="40"/>
      <c r="C18" s="92"/>
      <c r="D18" s="41"/>
      <c r="E18" s="41"/>
      <c r="F18" s="42"/>
      <c r="G18" s="43"/>
      <c r="I18" s="26"/>
      <c r="J18" s="26"/>
      <c r="K18" s="26"/>
      <c r="L18" s="24" t="s">
        <v>1097</v>
      </c>
      <c r="M18" s="99">
        <f t="shared" si="0"/>
        <v>1200</v>
      </c>
    </row>
    <row r="19" spans="1:14" ht="12.75">
      <c r="A19" s="27" t="s">
        <v>42</v>
      </c>
      <c r="B19" s="40" t="s">
        <v>89</v>
      </c>
      <c r="C19" s="90">
        <v>7.99</v>
      </c>
      <c r="D19" s="41" t="s">
        <v>1019</v>
      </c>
      <c r="E19" s="41" t="s">
        <v>1065</v>
      </c>
      <c r="F19" s="42" t="s">
        <v>1036</v>
      </c>
      <c r="G19" s="43"/>
      <c r="I19" s="26"/>
      <c r="J19" s="26"/>
      <c r="K19" s="26"/>
      <c r="L19" s="28" t="s">
        <v>1090</v>
      </c>
      <c r="M19" s="100">
        <f>SUM(M3:M18)</f>
        <v>34791.14199999999</v>
      </c>
      <c r="N19" s="23"/>
    </row>
    <row r="20" spans="1:7" ht="12.75">
      <c r="A20" s="27" t="s">
        <v>42</v>
      </c>
      <c r="B20" s="40" t="s">
        <v>1020</v>
      </c>
      <c r="C20" s="90">
        <v>65</v>
      </c>
      <c r="D20" s="41" t="s">
        <v>1019</v>
      </c>
      <c r="E20" s="41" t="s">
        <v>1076</v>
      </c>
      <c r="F20" s="42" t="s">
        <v>1036</v>
      </c>
      <c r="G20" s="43"/>
    </row>
    <row r="21" spans="1:7" ht="12.75">
      <c r="A21" s="27" t="s">
        <v>42</v>
      </c>
      <c r="B21" s="40" t="s">
        <v>1018</v>
      </c>
      <c r="C21" s="90">
        <f>((150+39.6)*10)/10</f>
        <v>189.6</v>
      </c>
      <c r="D21" s="41" t="s">
        <v>1019</v>
      </c>
      <c r="E21" s="41" t="s">
        <v>1067</v>
      </c>
      <c r="F21" s="42" t="s">
        <v>1036</v>
      </c>
      <c r="G21" s="43"/>
    </row>
    <row r="22" spans="1:7" ht="12.75">
      <c r="A22" s="27" t="s">
        <v>38</v>
      </c>
      <c r="B22" s="40" t="s">
        <v>1085</v>
      </c>
      <c r="C22" s="90">
        <f>((_xlfn.IFERROR(VLOOKUP($A22,Payments!$A:$M,MATCH($A$3,Payments!$6:$6,1),0),0)/4)*10)/10</f>
        <v>106.3975</v>
      </c>
      <c r="D22" s="41" t="s">
        <v>1019</v>
      </c>
      <c r="E22" s="41"/>
      <c r="F22" s="42" t="s">
        <v>1084</v>
      </c>
      <c r="G22" s="43"/>
    </row>
    <row r="23" spans="1:7" ht="12.75">
      <c r="A23" s="27" t="s">
        <v>21</v>
      </c>
      <c r="B23" s="40" t="s">
        <v>1089</v>
      </c>
      <c r="C23" s="90">
        <f>((_xlfn.IFERROR(VLOOKUP($A23,Payments!$A:$M,MATCH($A$3,Payments!$6:$6,1),0),0)/4)*10)/10</f>
        <v>772.348</v>
      </c>
      <c r="D23" s="41" t="s">
        <v>1019</v>
      </c>
      <c r="E23" s="41" t="s">
        <v>1092</v>
      </c>
      <c r="F23" s="42" t="s">
        <v>1084</v>
      </c>
      <c r="G23" s="43"/>
    </row>
    <row r="24" spans="1:7" ht="25.5">
      <c r="A24" s="27" t="s">
        <v>24</v>
      </c>
      <c r="B24" s="40" t="s">
        <v>1101</v>
      </c>
      <c r="C24" s="90">
        <v>10000</v>
      </c>
      <c r="D24" s="41" t="s">
        <v>1019</v>
      </c>
      <c r="E24" s="41"/>
      <c r="F24" s="42" t="s">
        <v>1102</v>
      </c>
      <c r="G24" s="43"/>
    </row>
    <row r="25" spans="1:7" ht="25.5">
      <c r="A25" s="27" t="s">
        <v>1087</v>
      </c>
      <c r="B25" s="40" t="s">
        <v>1096</v>
      </c>
      <c r="C25" s="90">
        <v>1800</v>
      </c>
      <c r="D25" s="41" t="s">
        <v>1019</v>
      </c>
      <c r="E25" s="41"/>
      <c r="F25" s="42" t="s">
        <v>1102</v>
      </c>
      <c r="G25" s="43"/>
    </row>
    <row r="26" spans="1:7" ht="12.75">
      <c r="A26" s="27" t="s">
        <v>1097</v>
      </c>
      <c r="B26" s="40" t="s">
        <v>1099</v>
      </c>
      <c r="C26" s="90">
        <v>300</v>
      </c>
      <c r="D26" s="41" t="s">
        <v>1019</v>
      </c>
      <c r="E26" s="41" t="s">
        <v>1094</v>
      </c>
      <c r="F26" s="42" t="s">
        <v>1036</v>
      </c>
      <c r="G26" s="43"/>
    </row>
    <row r="27" spans="1:7" ht="13.5" thickBot="1">
      <c r="A27" s="27"/>
      <c r="B27" s="40"/>
      <c r="C27" s="91">
        <f>SUM(C19:C26)</f>
        <v>13241.3355</v>
      </c>
      <c r="D27" s="41"/>
      <c r="E27" s="41"/>
      <c r="F27" s="42"/>
      <c r="G27" s="43"/>
    </row>
    <row r="28" spans="1:7" ht="13.5" thickTop="1">
      <c r="A28" s="27"/>
      <c r="B28" s="40"/>
      <c r="C28" s="92"/>
      <c r="D28" s="41"/>
      <c r="E28" s="41"/>
      <c r="F28" s="42"/>
      <c r="G28" s="43"/>
    </row>
    <row r="29" spans="1:7" ht="12.75">
      <c r="A29" s="27" t="s">
        <v>49</v>
      </c>
      <c r="B29" s="40" t="s">
        <v>1024</v>
      </c>
      <c r="C29" s="90">
        <v>7.99</v>
      </c>
      <c r="D29" s="41" t="s">
        <v>1021</v>
      </c>
      <c r="E29" s="41" t="s">
        <v>1078</v>
      </c>
      <c r="F29" s="42" t="s">
        <v>1036</v>
      </c>
      <c r="G29" s="43"/>
    </row>
    <row r="30" spans="1:7" ht="12.75">
      <c r="A30" s="27" t="s">
        <v>42</v>
      </c>
      <c r="B30" s="40" t="s">
        <v>1025</v>
      </c>
      <c r="C30" s="90">
        <v>8.99</v>
      </c>
      <c r="D30" s="41" t="s">
        <v>1021</v>
      </c>
      <c r="E30" s="41" t="s">
        <v>1068</v>
      </c>
      <c r="F30" s="42" t="s">
        <v>1036</v>
      </c>
      <c r="G30" s="43"/>
    </row>
    <row r="31" spans="1:7" ht="12.75">
      <c r="A31" s="27" t="s">
        <v>49</v>
      </c>
      <c r="B31" s="40" t="s">
        <v>1026</v>
      </c>
      <c r="C31" s="90">
        <v>9.99</v>
      </c>
      <c r="D31" s="41" t="s">
        <v>1021</v>
      </c>
      <c r="E31" s="41" t="s">
        <v>1069</v>
      </c>
      <c r="F31" s="42" t="s">
        <v>1036</v>
      </c>
      <c r="G31" s="43"/>
    </row>
    <row r="32" spans="1:7" ht="12.75">
      <c r="A32" s="27" t="s">
        <v>36</v>
      </c>
      <c r="B32" s="40" t="s">
        <v>1023</v>
      </c>
      <c r="C32" s="90">
        <v>20</v>
      </c>
      <c r="D32" s="41" t="s">
        <v>1021</v>
      </c>
      <c r="E32" s="41" t="s">
        <v>1078</v>
      </c>
      <c r="F32" s="42" t="s">
        <v>1036</v>
      </c>
      <c r="G32" s="43"/>
    </row>
    <row r="33" spans="1:7" ht="12.75">
      <c r="A33" s="27" t="s">
        <v>62</v>
      </c>
      <c r="B33" s="40" t="s">
        <v>1022</v>
      </c>
      <c r="C33" s="90">
        <v>28.440000000000005</v>
      </c>
      <c r="D33" s="41" t="s">
        <v>1021</v>
      </c>
      <c r="E33" s="41" t="s">
        <v>1077</v>
      </c>
      <c r="F33" s="42" t="s">
        <v>1036</v>
      </c>
      <c r="G33" s="43"/>
    </row>
    <row r="34" spans="1:7" ht="12.75">
      <c r="A34" s="27" t="s">
        <v>42</v>
      </c>
      <c r="B34" s="40" t="s">
        <v>86</v>
      </c>
      <c r="C34" s="90">
        <v>38.11</v>
      </c>
      <c r="D34" s="41" t="s">
        <v>1021</v>
      </c>
      <c r="E34" s="41" t="s">
        <v>1068</v>
      </c>
      <c r="F34" s="42" t="s">
        <v>1036</v>
      </c>
      <c r="G34" s="43"/>
    </row>
    <row r="35" spans="1:7" ht="12.75">
      <c r="A35" s="27" t="s">
        <v>1062</v>
      </c>
      <c r="B35" s="40" t="s">
        <v>136</v>
      </c>
      <c r="C35" s="90">
        <v>2208.33</v>
      </c>
      <c r="D35" s="41" t="s">
        <v>1021</v>
      </c>
      <c r="E35" s="41" t="s">
        <v>1066</v>
      </c>
      <c r="F35" s="42" t="s">
        <v>1036</v>
      </c>
      <c r="G35" s="43"/>
    </row>
    <row r="36" spans="1:7" ht="12.75">
      <c r="A36" s="27" t="s">
        <v>38</v>
      </c>
      <c r="B36" s="40" t="s">
        <v>1085</v>
      </c>
      <c r="C36" s="90">
        <f>((_xlfn.IFERROR(VLOOKUP($A36,Payments!$A:$M,MATCH($A$3,Payments!$6:$6,1),0),0)/4)*10)/10</f>
        <v>106.3975</v>
      </c>
      <c r="D36" s="41" t="s">
        <v>1021</v>
      </c>
      <c r="E36" s="41"/>
      <c r="F36" s="42" t="s">
        <v>1084</v>
      </c>
      <c r="G36" s="43"/>
    </row>
    <row r="37" spans="1:7" ht="12.75">
      <c r="A37" s="27" t="s">
        <v>21</v>
      </c>
      <c r="B37" s="40" t="s">
        <v>1089</v>
      </c>
      <c r="C37" s="90">
        <f>((_xlfn.IFERROR(VLOOKUP($A37,Payments!$A:$M,MATCH($A$3,Payments!$6:$6,1),0),0)/4)*10)/10</f>
        <v>772.348</v>
      </c>
      <c r="D37" s="41" t="s">
        <v>1021</v>
      </c>
      <c r="E37" s="41" t="s">
        <v>1092</v>
      </c>
      <c r="F37" s="42" t="s">
        <v>1084</v>
      </c>
      <c r="G37" s="43"/>
    </row>
    <row r="38" spans="1:7" ht="12.75">
      <c r="A38" s="27" t="s">
        <v>1097</v>
      </c>
      <c r="B38" s="40" t="s">
        <v>1099</v>
      </c>
      <c r="C38" s="90">
        <v>300</v>
      </c>
      <c r="D38" s="41" t="s">
        <v>1021</v>
      </c>
      <c r="E38" s="41" t="s">
        <v>1094</v>
      </c>
      <c r="F38" s="42" t="s">
        <v>1036</v>
      </c>
      <c r="G38" s="43"/>
    </row>
    <row r="39" spans="1:7" ht="25.5">
      <c r="A39" s="27" t="s">
        <v>34</v>
      </c>
      <c r="B39" s="40" t="s">
        <v>1100</v>
      </c>
      <c r="C39" s="90">
        <v>2509</v>
      </c>
      <c r="D39" s="41" t="s">
        <v>1021</v>
      </c>
      <c r="E39" s="41" t="s">
        <v>1088</v>
      </c>
      <c r="F39" s="42" t="s">
        <v>1102</v>
      </c>
      <c r="G39" s="43"/>
    </row>
    <row r="40" spans="1:7" ht="13.5" thickBot="1">
      <c r="A40" s="27"/>
      <c r="B40" s="40"/>
      <c r="C40" s="91">
        <f>SUM(C29:C39)</f>
        <v>6009.595499999999</v>
      </c>
      <c r="D40" s="41"/>
      <c r="E40" s="41"/>
      <c r="F40" s="42"/>
      <c r="G40" s="43"/>
    </row>
    <row r="41" spans="1:7" ht="13.5" thickTop="1">
      <c r="A41" s="27"/>
      <c r="B41" s="40"/>
      <c r="C41" s="92"/>
      <c r="D41" s="41"/>
      <c r="E41" s="41"/>
      <c r="F41" s="42"/>
      <c r="G41" s="43"/>
    </row>
    <row r="42" spans="1:7" ht="12.75">
      <c r="A42" s="27" t="s">
        <v>42</v>
      </c>
      <c r="B42" s="40" t="s">
        <v>91</v>
      </c>
      <c r="C42" s="90">
        <v>7.95</v>
      </c>
      <c r="D42" s="41" t="s">
        <v>1027</v>
      </c>
      <c r="E42" s="41" t="s">
        <v>1073</v>
      </c>
      <c r="F42" s="42" t="s">
        <v>1036</v>
      </c>
      <c r="G42" s="43"/>
    </row>
    <row r="43" spans="1:7" ht="12.75">
      <c r="A43" s="27" t="s">
        <v>48</v>
      </c>
      <c r="B43" s="40" t="s">
        <v>48</v>
      </c>
      <c r="C43" s="90">
        <v>9.49</v>
      </c>
      <c r="D43" s="41" t="s">
        <v>1027</v>
      </c>
      <c r="E43" s="41" t="s">
        <v>1079</v>
      </c>
      <c r="F43" s="42" t="s">
        <v>1036</v>
      </c>
      <c r="G43" s="43"/>
    </row>
    <row r="44" spans="1:7" ht="12.75">
      <c r="A44" s="27" t="s">
        <v>42</v>
      </c>
      <c r="B44" s="40" t="s">
        <v>1029</v>
      </c>
      <c r="C44" s="90">
        <v>85</v>
      </c>
      <c r="D44" s="41" t="s">
        <v>1027</v>
      </c>
      <c r="E44" s="41" t="s">
        <v>1071</v>
      </c>
      <c r="F44" s="42" t="s">
        <v>1036</v>
      </c>
      <c r="G44" s="43"/>
    </row>
    <row r="45" spans="1:7" ht="12.75">
      <c r="A45" s="27" t="s">
        <v>46</v>
      </c>
      <c r="B45" s="40" t="s">
        <v>1032</v>
      </c>
      <c r="C45" s="90">
        <v>91.67</v>
      </c>
      <c r="D45" s="41" t="s">
        <v>1027</v>
      </c>
      <c r="E45" s="41" t="s">
        <v>1082</v>
      </c>
      <c r="F45" s="42" t="s">
        <v>1036</v>
      </c>
      <c r="G45" s="43"/>
    </row>
    <row r="46" spans="1:7" ht="12.75">
      <c r="A46" s="27" t="s">
        <v>42</v>
      </c>
      <c r="B46" s="40" t="s">
        <v>85</v>
      </c>
      <c r="C46" s="90">
        <v>105</v>
      </c>
      <c r="D46" s="41" t="s">
        <v>1027</v>
      </c>
      <c r="E46" s="41" t="s">
        <v>1070</v>
      </c>
      <c r="F46" s="42" t="s">
        <v>1036</v>
      </c>
      <c r="G46" s="43"/>
    </row>
    <row r="47" spans="1:7" ht="12.75">
      <c r="A47" s="27" t="s">
        <v>42</v>
      </c>
      <c r="B47" s="40" t="s">
        <v>1031</v>
      </c>
      <c r="C47" s="90">
        <v>145.61</v>
      </c>
      <c r="D47" s="41" t="s">
        <v>1027</v>
      </c>
      <c r="E47" s="41" t="s">
        <v>1072</v>
      </c>
      <c r="F47" s="42" t="s">
        <v>1036</v>
      </c>
      <c r="G47" s="43"/>
    </row>
    <row r="48" spans="1:7" ht="25.5">
      <c r="A48" s="27" t="s">
        <v>20</v>
      </c>
      <c r="B48" s="40" t="s">
        <v>1030</v>
      </c>
      <c r="C48" s="90">
        <v>1800</v>
      </c>
      <c r="D48" s="41" t="s">
        <v>1027</v>
      </c>
      <c r="E48" s="41" t="s">
        <v>1080</v>
      </c>
      <c r="F48" s="42" t="s">
        <v>1036</v>
      </c>
      <c r="G48" s="43"/>
    </row>
    <row r="49" spans="1:7" ht="12.75">
      <c r="A49" s="27" t="s">
        <v>38</v>
      </c>
      <c r="B49" s="40" t="s">
        <v>1085</v>
      </c>
      <c r="C49" s="90">
        <f>((_xlfn.IFERROR(VLOOKUP($A49,Payments!$A:$M,MATCH($A$3,Payments!$6:$6,1),0),0)/4)*10)/10</f>
        <v>106.3975</v>
      </c>
      <c r="D49" s="41" t="s">
        <v>1027</v>
      </c>
      <c r="E49" s="41"/>
      <c r="F49" s="42" t="s">
        <v>1084</v>
      </c>
      <c r="G49" s="43"/>
    </row>
    <row r="50" spans="1:7" ht="12.75">
      <c r="A50" s="27" t="s">
        <v>21</v>
      </c>
      <c r="B50" s="40" t="s">
        <v>1089</v>
      </c>
      <c r="C50" s="90">
        <f>((_xlfn.IFERROR(VLOOKUP($A50,Payments!$A:$M,MATCH($A$3,Payments!$6:$6,1),0),0)/4)*10)/10</f>
        <v>772.348</v>
      </c>
      <c r="D50" s="41" t="s">
        <v>1027</v>
      </c>
      <c r="E50" s="41" t="s">
        <v>1092</v>
      </c>
      <c r="F50" s="42" t="s">
        <v>1084</v>
      </c>
      <c r="G50" s="43"/>
    </row>
    <row r="51" spans="1:7" ht="12.75">
      <c r="A51" s="27" t="s">
        <v>1097</v>
      </c>
      <c r="B51" s="40" t="s">
        <v>1098</v>
      </c>
      <c r="C51" s="90">
        <v>300</v>
      </c>
      <c r="D51" s="41" t="s">
        <v>1027</v>
      </c>
      <c r="E51" s="41" t="s">
        <v>1094</v>
      </c>
      <c r="F51" s="42" t="s">
        <v>1036</v>
      </c>
      <c r="G51" s="43"/>
    </row>
    <row r="52" spans="1:7" ht="25.5">
      <c r="A52" s="27" t="s">
        <v>24</v>
      </c>
      <c r="B52" s="40" t="s">
        <v>1101</v>
      </c>
      <c r="C52" s="90">
        <v>6000</v>
      </c>
      <c r="D52" s="41"/>
      <c r="E52" s="41"/>
      <c r="F52" s="42" t="s">
        <v>1102</v>
      </c>
      <c r="G52" s="43"/>
    </row>
    <row r="53" spans="1:7" ht="25.5">
      <c r="A53" s="27" t="s">
        <v>1087</v>
      </c>
      <c r="B53" s="40" t="s">
        <v>1096</v>
      </c>
      <c r="C53" s="90">
        <v>800</v>
      </c>
      <c r="D53" s="41"/>
      <c r="E53" s="41"/>
      <c r="F53" s="42" t="s">
        <v>1102</v>
      </c>
      <c r="G53" s="43"/>
    </row>
    <row r="54" spans="1:7" ht="25.5">
      <c r="A54" s="27" t="s">
        <v>34</v>
      </c>
      <c r="B54" s="40" t="s">
        <v>1100</v>
      </c>
      <c r="C54" s="90">
        <v>2509</v>
      </c>
      <c r="D54" s="41" t="s">
        <v>1027</v>
      </c>
      <c r="E54" s="41" t="s">
        <v>1088</v>
      </c>
      <c r="F54" s="42" t="s">
        <v>1102</v>
      </c>
      <c r="G54" s="43"/>
    </row>
    <row r="55" spans="1:7" ht="13.5" thickBot="1">
      <c r="A55" s="27"/>
      <c r="B55" s="40"/>
      <c r="C55" s="91">
        <f>SUM(C42:C54)</f>
        <v>12732.4655</v>
      </c>
      <c r="D55" s="41"/>
      <c r="E55" s="41"/>
      <c r="F55" s="42"/>
      <c r="G55" s="43"/>
    </row>
    <row r="56" spans="1:6" ht="13.5" thickTop="1">
      <c r="A56" s="24"/>
      <c r="B56" s="27"/>
      <c r="C56" s="93"/>
      <c r="D56" s="25"/>
      <c r="E56" s="27"/>
      <c r="F56" s="26"/>
    </row>
    <row r="57" spans="1:6" ht="12.75">
      <c r="A57" s="24"/>
      <c r="B57" s="27"/>
      <c r="C57" s="93"/>
      <c r="D57" s="25"/>
      <c r="E57" s="27"/>
      <c r="F57" s="26"/>
    </row>
    <row r="58" spans="1:6" ht="13.5" thickBot="1">
      <c r="A58" s="39" t="s">
        <v>1091</v>
      </c>
      <c r="B58" s="28"/>
      <c r="C58" s="94">
        <f>+C17+C27+C40+C55</f>
        <v>34791.142</v>
      </c>
      <c r="D58" s="28"/>
      <c r="E58" s="27"/>
      <c r="F58" s="26"/>
    </row>
    <row r="59" ht="13.5" thickTop="1"/>
  </sheetData>
  <sheetProtection/>
  <mergeCells count="4">
    <mergeCell ref="A3:F3"/>
    <mergeCell ref="A1:F2"/>
    <mergeCell ref="I1:J1"/>
    <mergeCell ref="L1:M1"/>
  </mergeCells>
  <printOptions/>
  <pageMargins left="0.7" right="0.7" top="0.75" bottom="0.75" header="0.3" footer="0.3"/>
  <pageSetup horizontalDpi="300" verticalDpi="300" orientation="landscape" paperSize="9" scale="86" r:id="rId2"/>
  <colBreaks count="1" manualBreakCount="1">
    <brk id="5" max="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25" sqref="B25"/>
    </sheetView>
  </sheetViews>
  <sheetFormatPr defaultColWidth="8.8515625" defaultRowHeight="12.75"/>
  <cols>
    <col min="1" max="1" width="15.421875" style="24" customWidth="1"/>
    <col min="2" max="2" width="37.140625" style="24" customWidth="1"/>
    <col min="3" max="3" width="20.28125" style="24" customWidth="1"/>
    <col min="4" max="4" width="65.421875" style="40" customWidth="1"/>
    <col min="5" max="16384" width="8.8515625" style="24" customWidth="1"/>
  </cols>
  <sheetData>
    <row r="1" spans="1:3" ht="28.5" customHeight="1">
      <c r="A1" s="318" t="s">
        <v>1140</v>
      </c>
      <c r="B1" s="318"/>
      <c r="C1" s="318"/>
    </row>
    <row r="4" spans="1:4" ht="12.75">
      <c r="A4" s="82" t="s">
        <v>452</v>
      </c>
      <c r="B4" s="82" t="s">
        <v>77</v>
      </c>
      <c r="C4" s="82" t="s">
        <v>454</v>
      </c>
      <c r="D4" s="83" t="s">
        <v>453</v>
      </c>
    </row>
    <row r="6" spans="1:4" ht="25.5">
      <c r="A6" s="64">
        <v>1</v>
      </c>
      <c r="B6" s="24" t="s">
        <v>458</v>
      </c>
      <c r="C6" s="24" t="s">
        <v>465</v>
      </c>
      <c r="D6" s="40" t="s">
        <v>464</v>
      </c>
    </row>
    <row r="7" spans="1:4" ht="12.75">
      <c r="A7" s="64"/>
      <c r="D7" s="40" t="s">
        <v>466</v>
      </c>
    </row>
    <row r="8" spans="1:4" ht="12.75">
      <c r="A8" s="64"/>
      <c r="D8" s="40" t="s">
        <v>467</v>
      </c>
    </row>
    <row r="9" spans="1:4" ht="12.75">
      <c r="A9" s="64"/>
      <c r="D9" s="40" t="s">
        <v>1141</v>
      </c>
    </row>
    <row r="10" ht="12.75">
      <c r="A10" s="64"/>
    </row>
    <row r="11" spans="1:4" ht="12.75">
      <c r="A11" s="64">
        <v>2</v>
      </c>
      <c r="B11" s="24" t="s">
        <v>23</v>
      </c>
      <c r="D11" s="40" t="s">
        <v>1105</v>
      </c>
    </row>
    <row r="12" ht="12.75">
      <c r="A12" s="64"/>
    </row>
    <row r="13" ht="12.75">
      <c r="A13" s="64"/>
    </row>
    <row r="14" spans="1:4" ht="25.5">
      <c r="A14" s="64">
        <v>3</v>
      </c>
      <c r="B14" s="24" t="s">
        <v>472</v>
      </c>
      <c r="D14" s="40" t="s">
        <v>1106</v>
      </c>
    </row>
    <row r="15" ht="12.75">
      <c r="A15" s="64"/>
    </row>
    <row r="16" spans="1:4" ht="12.75">
      <c r="A16" s="64">
        <v>4</v>
      </c>
      <c r="B16" s="24" t="s">
        <v>473</v>
      </c>
      <c r="D16" s="40" t="s">
        <v>1107</v>
      </c>
    </row>
    <row r="17" ht="12.75">
      <c r="A17" s="64"/>
    </row>
    <row r="18" ht="12.75">
      <c r="A18" s="64"/>
    </row>
    <row r="19" ht="12.75">
      <c r="A19" s="64"/>
    </row>
    <row r="20" ht="12.75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">
    <mergeCell ref="A1:C1"/>
  </mergeCells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selection activeCell="B19" sqref="B19"/>
    </sheetView>
  </sheetViews>
  <sheetFormatPr defaultColWidth="8.8515625" defaultRowHeight="12.75"/>
  <cols>
    <col min="1" max="1" width="15.140625" style="72" bestFit="1" customWidth="1"/>
    <col min="2" max="2" width="48.421875" style="24" bestFit="1" customWidth="1"/>
    <col min="3" max="3" width="14.28125" style="25" customWidth="1"/>
    <col min="4" max="4" width="60.421875" style="40" customWidth="1"/>
    <col min="5" max="16384" width="8.8515625" style="24" customWidth="1"/>
  </cols>
  <sheetData>
    <row r="1" spans="1:2" ht="21">
      <c r="A1" s="319" t="s">
        <v>71</v>
      </c>
      <c r="B1" s="319"/>
    </row>
    <row r="2" spans="1:3" ht="21.75" thickBot="1">
      <c r="A2" s="7"/>
      <c r="B2" s="7"/>
      <c r="C2" s="44"/>
    </row>
    <row r="3" spans="1:4" ht="21">
      <c r="A3" s="8"/>
      <c r="B3" s="9" t="s">
        <v>457</v>
      </c>
      <c r="C3" s="45"/>
      <c r="D3" s="46"/>
    </row>
    <row r="4" spans="1:4" ht="21">
      <c r="A4" s="10"/>
      <c r="B4" s="11"/>
      <c r="C4" s="47"/>
      <c r="D4" s="48"/>
    </row>
    <row r="5" spans="1:5" ht="12.75">
      <c r="A5" s="49" t="s">
        <v>74</v>
      </c>
      <c r="B5" s="50" t="s">
        <v>75</v>
      </c>
      <c r="C5" s="50" t="s">
        <v>76</v>
      </c>
      <c r="D5" s="51" t="s">
        <v>453</v>
      </c>
      <c r="E5" s="25"/>
    </row>
    <row r="6" spans="1:5" ht="12.75">
      <c r="A6" s="49"/>
      <c r="B6" s="50"/>
      <c r="C6" s="50"/>
      <c r="D6" s="52"/>
      <c r="E6" s="25"/>
    </row>
    <row r="7" spans="1:5" ht="18.75">
      <c r="A7" s="49">
        <v>1</v>
      </c>
      <c r="B7" s="53" t="s">
        <v>458</v>
      </c>
      <c r="C7" s="50"/>
      <c r="D7" s="320" t="s">
        <v>461</v>
      </c>
      <c r="E7" s="25"/>
    </row>
    <row r="8" spans="1:5" ht="18.75">
      <c r="A8" s="49"/>
      <c r="B8" s="53"/>
      <c r="C8" s="50"/>
      <c r="D8" s="320"/>
      <c r="E8" s="25"/>
    </row>
    <row r="9" spans="1:5" ht="25.5">
      <c r="A9" s="49"/>
      <c r="B9" s="53"/>
      <c r="C9" s="50"/>
      <c r="D9" s="52" t="s">
        <v>471</v>
      </c>
      <c r="E9" s="25"/>
    </row>
    <row r="10" spans="1:5" ht="18.75">
      <c r="A10" s="49"/>
      <c r="B10" s="53"/>
      <c r="C10" s="50"/>
      <c r="D10" s="52"/>
      <c r="E10" s="25"/>
    </row>
    <row r="11" spans="1:4" ht="27" customHeight="1">
      <c r="A11" s="54"/>
      <c r="B11" s="55" t="s">
        <v>459</v>
      </c>
      <c r="C11" s="56">
        <v>0.6</v>
      </c>
      <c r="D11" s="48" t="s">
        <v>455</v>
      </c>
    </row>
    <row r="12" spans="1:4" ht="32.25" customHeight="1">
      <c r="A12" s="54"/>
      <c r="B12" s="55" t="s">
        <v>460</v>
      </c>
      <c r="C12" s="56">
        <f>100%-C11</f>
        <v>0.4</v>
      </c>
      <c r="D12" s="48" t="s">
        <v>456</v>
      </c>
    </row>
    <row r="13" spans="1:4" ht="12.75">
      <c r="A13" s="54"/>
      <c r="B13" s="57"/>
      <c r="C13" s="58"/>
      <c r="D13" s="48"/>
    </row>
    <row r="14" spans="1:4" ht="12.75">
      <c r="A14" s="54"/>
      <c r="B14" s="55" t="s">
        <v>486</v>
      </c>
      <c r="C14" s="58"/>
      <c r="D14" s="48" t="s">
        <v>523</v>
      </c>
    </row>
    <row r="15" spans="1:4" ht="12.75">
      <c r="A15" s="54"/>
      <c r="B15" s="55"/>
      <c r="C15" s="58"/>
      <c r="D15" s="48"/>
    </row>
    <row r="16" spans="1:4" ht="12.75">
      <c r="A16" s="54"/>
      <c r="B16" s="59" t="s">
        <v>524</v>
      </c>
      <c r="C16" s="58"/>
      <c r="D16" s="48" t="s">
        <v>525</v>
      </c>
    </row>
    <row r="17" spans="1:4" ht="12.75">
      <c r="A17" s="54"/>
      <c r="B17" s="57"/>
      <c r="C17" s="58"/>
      <c r="D17" s="48"/>
    </row>
    <row r="18" spans="1:4" ht="25.5">
      <c r="A18" s="54"/>
      <c r="B18" s="59" t="s">
        <v>526</v>
      </c>
      <c r="C18" s="60">
        <v>0.9</v>
      </c>
      <c r="D18" s="48" t="s">
        <v>527</v>
      </c>
    </row>
    <row r="19" spans="1:4" ht="25.5">
      <c r="A19" s="54"/>
      <c r="B19" s="59"/>
      <c r="C19" s="60">
        <v>0.1</v>
      </c>
      <c r="D19" s="48" t="s">
        <v>528</v>
      </c>
    </row>
    <row r="20" spans="1:4" ht="12.75">
      <c r="A20" s="54"/>
      <c r="B20" s="57"/>
      <c r="C20" s="58"/>
      <c r="D20" s="48"/>
    </row>
    <row r="21" spans="1:4" ht="12.75">
      <c r="A21" s="54"/>
      <c r="B21" s="57"/>
      <c r="C21" s="60">
        <v>0.25</v>
      </c>
      <c r="D21" s="48" t="s">
        <v>1142</v>
      </c>
    </row>
    <row r="22" spans="1:4" ht="12.75">
      <c r="A22" s="54"/>
      <c r="B22" s="57"/>
      <c r="C22" s="58"/>
      <c r="D22" s="48"/>
    </row>
    <row r="23" spans="1:4" ht="12.75">
      <c r="A23" s="49">
        <v>2</v>
      </c>
      <c r="B23" s="55" t="s">
        <v>72</v>
      </c>
      <c r="C23" s="60">
        <v>0.01</v>
      </c>
      <c r="D23" s="48" t="s">
        <v>1143</v>
      </c>
    </row>
    <row r="24" spans="1:4" ht="12.75">
      <c r="A24" s="49"/>
      <c r="B24" s="57"/>
      <c r="C24" s="60"/>
      <c r="D24" s="48"/>
    </row>
    <row r="25" spans="1:4" ht="13.5" thickBot="1">
      <c r="A25" s="61">
        <v>3</v>
      </c>
      <c r="B25" s="62" t="s">
        <v>17</v>
      </c>
      <c r="C25" s="63"/>
      <c r="D25" s="295" t="s">
        <v>463</v>
      </c>
    </row>
    <row r="26" spans="1:3" ht="13.5" thickBot="1">
      <c r="A26" s="64"/>
      <c r="C26" s="65"/>
    </row>
    <row r="27" spans="1:4" ht="21">
      <c r="A27" s="66"/>
      <c r="B27" s="9" t="s">
        <v>462</v>
      </c>
      <c r="C27" s="67"/>
      <c r="D27" s="46"/>
    </row>
    <row r="28" spans="1:4" ht="12.75">
      <c r="A28" s="49"/>
      <c r="B28" s="57"/>
      <c r="C28" s="60"/>
      <c r="D28" s="48"/>
    </row>
    <row r="29" spans="1:4" ht="12.75">
      <c r="A29" s="49">
        <v>1</v>
      </c>
      <c r="B29" s="55" t="s">
        <v>468</v>
      </c>
      <c r="C29" s="60"/>
      <c r="D29" s="48" t="s">
        <v>1152</v>
      </c>
    </row>
    <row r="30" spans="1:4" ht="12.75">
      <c r="A30" s="49"/>
      <c r="B30" s="57"/>
      <c r="C30" s="60"/>
      <c r="D30" s="296" t="s">
        <v>469</v>
      </c>
    </row>
    <row r="31" spans="1:4" ht="12.75">
      <c r="A31" s="49"/>
      <c r="B31" s="57"/>
      <c r="C31" s="60"/>
      <c r="D31" s="296" t="s">
        <v>1144</v>
      </c>
    </row>
    <row r="32" spans="1:4" ht="12.75">
      <c r="A32" s="49"/>
      <c r="B32" s="57"/>
      <c r="C32" s="60"/>
      <c r="D32" s="296"/>
    </row>
    <row r="33" spans="1:4" ht="12.75">
      <c r="A33" s="49">
        <v>2</v>
      </c>
      <c r="B33" s="55" t="s">
        <v>21</v>
      </c>
      <c r="C33" s="60">
        <v>0.03</v>
      </c>
      <c r="D33" s="296" t="s">
        <v>470</v>
      </c>
    </row>
    <row r="34" spans="1:4" ht="12.75">
      <c r="A34" s="49">
        <v>3</v>
      </c>
      <c r="B34" s="55" t="s">
        <v>22</v>
      </c>
      <c r="C34" s="60">
        <v>0.02</v>
      </c>
      <c r="D34" s="48" t="s">
        <v>73</v>
      </c>
    </row>
    <row r="35" spans="1:4" ht="12.75">
      <c r="A35" s="49">
        <v>4</v>
      </c>
      <c r="B35" s="55" t="s">
        <v>23</v>
      </c>
      <c r="C35" s="60"/>
      <c r="D35" s="48"/>
    </row>
    <row r="36" spans="1:4" ht="12.75">
      <c r="A36" s="49">
        <v>5</v>
      </c>
      <c r="B36" s="55" t="s">
        <v>24</v>
      </c>
      <c r="C36" s="58"/>
      <c r="D36" s="48" t="s">
        <v>78</v>
      </c>
    </row>
    <row r="37" spans="1:4" ht="12.75">
      <c r="A37" s="49">
        <v>6</v>
      </c>
      <c r="B37" s="55" t="s">
        <v>25</v>
      </c>
      <c r="C37" s="60"/>
      <c r="D37" s="48" t="s">
        <v>1145</v>
      </c>
    </row>
    <row r="38" spans="1:4" ht="12.75">
      <c r="A38" s="49">
        <v>7</v>
      </c>
      <c r="B38" s="55" t="s">
        <v>79</v>
      </c>
      <c r="C38" s="58"/>
      <c r="D38" s="48" t="s">
        <v>474</v>
      </c>
    </row>
    <row r="39" spans="1:4" ht="12.75">
      <c r="A39" s="49">
        <v>8</v>
      </c>
      <c r="B39" s="55" t="s">
        <v>31</v>
      </c>
      <c r="C39" s="58"/>
      <c r="D39" s="48" t="s">
        <v>80</v>
      </c>
    </row>
    <row r="40" spans="1:4" ht="13.5" thickBot="1">
      <c r="A40" s="68"/>
      <c r="B40" s="69"/>
      <c r="C40" s="70"/>
      <c r="D40" s="71"/>
    </row>
    <row r="41" ht="13.5" thickBot="1"/>
    <row r="42" spans="1:4" ht="21">
      <c r="A42" s="73"/>
      <c r="B42" s="9" t="s">
        <v>475</v>
      </c>
      <c r="C42" s="74"/>
      <c r="D42" s="46"/>
    </row>
    <row r="43" spans="1:4" ht="12.75">
      <c r="A43" s="75"/>
      <c r="B43" s="55"/>
      <c r="C43" s="58"/>
      <c r="D43" s="48"/>
    </row>
    <row r="44" spans="1:4" ht="12.75">
      <c r="A44" s="49">
        <v>1</v>
      </c>
      <c r="B44" s="55" t="s">
        <v>30</v>
      </c>
      <c r="C44" s="58"/>
      <c r="D44" s="48"/>
    </row>
    <row r="45" spans="1:4" ht="12.75">
      <c r="A45" s="49"/>
      <c r="B45" s="55"/>
      <c r="C45" s="58"/>
      <c r="D45" s="48"/>
    </row>
    <row r="46" spans="1:4" ht="12.75">
      <c r="A46" s="49">
        <v>2</v>
      </c>
      <c r="B46" s="55" t="s">
        <v>31</v>
      </c>
      <c r="C46" s="58"/>
      <c r="D46" s="48" t="s">
        <v>1146</v>
      </c>
    </row>
    <row r="47" spans="1:4" ht="13.5" thickBot="1">
      <c r="A47" s="68"/>
      <c r="B47" s="62"/>
      <c r="C47" s="70"/>
      <c r="D47" s="71"/>
    </row>
    <row r="49" ht="13.5" thickBot="1"/>
    <row r="50" spans="1:4" ht="21">
      <c r="A50" s="73"/>
      <c r="B50" s="9" t="s">
        <v>476</v>
      </c>
      <c r="C50" s="74"/>
      <c r="D50" s="46"/>
    </row>
    <row r="51" spans="1:4" ht="12.75">
      <c r="A51" s="75"/>
      <c r="B51" s="57"/>
      <c r="C51" s="58"/>
      <c r="D51" s="48"/>
    </row>
    <row r="52" spans="1:4" ht="12.75">
      <c r="A52" s="49"/>
      <c r="B52" s="57"/>
      <c r="C52" s="58"/>
      <c r="D52" s="48"/>
    </row>
    <row r="53" spans="1:4" ht="12.75">
      <c r="A53" s="49"/>
      <c r="B53" s="57"/>
      <c r="C53" s="58"/>
      <c r="D53" s="48"/>
    </row>
    <row r="54" spans="1:4" ht="12.75">
      <c r="A54" s="49">
        <v>1</v>
      </c>
      <c r="B54" s="76" t="s">
        <v>34</v>
      </c>
      <c r="C54" s="58"/>
      <c r="D54" s="48"/>
    </row>
    <row r="55" spans="1:4" ht="12.75">
      <c r="A55" s="49"/>
      <c r="B55" s="58" t="s">
        <v>1128</v>
      </c>
      <c r="C55" s="88">
        <v>620</v>
      </c>
      <c r="D55" s="48" t="s">
        <v>1153</v>
      </c>
    </row>
    <row r="56" spans="1:4" ht="12.75">
      <c r="A56" s="49"/>
      <c r="B56" s="58" t="s">
        <v>1127</v>
      </c>
      <c r="C56" s="88">
        <f>400*3</f>
        <v>1200</v>
      </c>
      <c r="D56" s="48" t="s">
        <v>1147</v>
      </c>
    </row>
    <row r="57" spans="1:4" ht="12.75">
      <c r="A57" s="49"/>
      <c r="B57" s="58"/>
      <c r="C57" s="88"/>
      <c r="D57" s="48" t="s">
        <v>451</v>
      </c>
    </row>
    <row r="58" spans="1:4" ht="12.75">
      <c r="A58" s="49"/>
      <c r="B58" s="57"/>
      <c r="C58" s="58"/>
      <c r="D58" s="48"/>
    </row>
    <row r="59" spans="1:4" ht="12.75">
      <c r="A59" s="49"/>
      <c r="B59" s="57"/>
      <c r="C59" s="58"/>
      <c r="D59" s="48"/>
    </row>
    <row r="60" spans="1:4" ht="12.75">
      <c r="A60" s="49">
        <v>2</v>
      </c>
      <c r="B60" s="55" t="s">
        <v>35</v>
      </c>
      <c r="C60" s="60">
        <v>0.02</v>
      </c>
      <c r="D60" s="48" t="s">
        <v>81</v>
      </c>
    </row>
    <row r="61" spans="1:4" ht="12.75">
      <c r="A61" s="49">
        <v>3</v>
      </c>
      <c r="B61" s="55" t="s">
        <v>36</v>
      </c>
      <c r="C61" s="60">
        <v>0.01</v>
      </c>
      <c r="D61" s="48" t="s">
        <v>81</v>
      </c>
    </row>
    <row r="62" spans="1:4" ht="12.75">
      <c r="A62" s="49"/>
      <c r="B62" s="57"/>
      <c r="C62" s="77"/>
      <c r="D62" s="48"/>
    </row>
    <row r="63" spans="1:4" ht="12.75">
      <c r="A63" s="49">
        <v>4</v>
      </c>
      <c r="B63" s="78" t="s">
        <v>41</v>
      </c>
      <c r="C63" s="88">
        <v>196.66</v>
      </c>
      <c r="D63" s="48" t="s">
        <v>82</v>
      </c>
    </row>
    <row r="64" spans="1:4" ht="12.75">
      <c r="A64" s="49"/>
      <c r="B64" s="57"/>
      <c r="C64" s="88"/>
      <c r="D64" s="48"/>
    </row>
    <row r="65" spans="1:4" ht="12.75">
      <c r="A65" s="49">
        <v>5</v>
      </c>
      <c r="B65" s="55" t="s">
        <v>42</v>
      </c>
      <c r="C65" s="88"/>
      <c r="D65" s="48"/>
    </row>
    <row r="66" spans="1:4" ht="12.75">
      <c r="A66" s="49"/>
      <c r="B66" s="57" t="s">
        <v>83</v>
      </c>
      <c r="C66" s="88">
        <f>125+33</f>
        <v>158</v>
      </c>
      <c r="D66" s="48" t="s">
        <v>84</v>
      </c>
    </row>
    <row r="67" spans="1:4" ht="12.75">
      <c r="A67" s="49"/>
      <c r="B67" s="57"/>
      <c r="C67" s="88">
        <v>38.11</v>
      </c>
      <c r="D67" s="48" t="s">
        <v>86</v>
      </c>
    </row>
    <row r="68" spans="1:4" ht="12.75">
      <c r="A68" s="49"/>
      <c r="B68" s="57"/>
      <c r="C68" s="88">
        <v>105</v>
      </c>
      <c r="D68" s="79" t="s">
        <v>85</v>
      </c>
    </row>
    <row r="69" spans="1:4" ht="12.75">
      <c r="A69" s="49"/>
      <c r="B69" s="57"/>
      <c r="C69" s="88">
        <v>48</v>
      </c>
      <c r="D69" s="48" t="s">
        <v>1148</v>
      </c>
    </row>
    <row r="70" spans="1:4" ht="12.75">
      <c r="A70" s="49"/>
      <c r="B70" s="57"/>
      <c r="C70" s="88">
        <v>64</v>
      </c>
      <c r="D70" s="79" t="s">
        <v>87</v>
      </c>
    </row>
    <row r="71" spans="1:4" ht="12.75">
      <c r="A71" s="49"/>
      <c r="B71" s="57"/>
      <c r="C71" s="88">
        <v>65</v>
      </c>
      <c r="D71" s="48" t="s">
        <v>88</v>
      </c>
    </row>
    <row r="72" spans="1:4" ht="12.75">
      <c r="A72" s="49"/>
      <c r="B72" s="57"/>
      <c r="C72" s="88">
        <v>120</v>
      </c>
      <c r="D72" s="48" t="s">
        <v>1149</v>
      </c>
    </row>
    <row r="73" spans="1:4" ht="12.75">
      <c r="A73" s="49"/>
      <c r="B73" s="57"/>
      <c r="C73" s="88">
        <v>8</v>
      </c>
      <c r="D73" s="48" t="s">
        <v>89</v>
      </c>
    </row>
    <row r="74" spans="1:4" ht="12.75">
      <c r="A74" s="49"/>
      <c r="B74" s="57"/>
      <c r="C74" s="88">
        <v>600</v>
      </c>
      <c r="D74" s="48" t="s">
        <v>1150</v>
      </c>
    </row>
    <row r="75" spans="1:4" ht="12.75">
      <c r="A75" s="49"/>
      <c r="B75" s="57"/>
      <c r="C75" s="88">
        <v>145.61</v>
      </c>
      <c r="D75" s="48" t="s">
        <v>1010</v>
      </c>
    </row>
    <row r="76" spans="1:4" ht="12.75">
      <c r="A76" s="49"/>
      <c r="B76" s="57"/>
      <c r="C76" s="88">
        <v>350</v>
      </c>
      <c r="D76" s="48" t="s">
        <v>90</v>
      </c>
    </row>
    <row r="77" spans="1:4" ht="12.75">
      <c r="A77" s="49"/>
      <c r="B77" s="57"/>
      <c r="C77" s="88">
        <v>8</v>
      </c>
      <c r="D77" s="79" t="s">
        <v>91</v>
      </c>
    </row>
    <row r="78" spans="1:4" ht="12.75">
      <c r="A78" s="49"/>
      <c r="B78" s="57"/>
      <c r="C78" s="294">
        <f>850-145.61</f>
        <v>704.39</v>
      </c>
      <c r="D78" s="48" t="s">
        <v>92</v>
      </c>
    </row>
    <row r="79" spans="1:4" ht="12.75">
      <c r="A79" s="49"/>
      <c r="B79" s="57"/>
      <c r="C79" s="89">
        <f>SUM(C66:C78)</f>
        <v>2414.11</v>
      </c>
      <c r="D79" s="48"/>
    </row>
    <row r="80" spans="1:4" ht="12.75">
      <c r="A80" s="49"/>
      <c r="B80" s="57"/>
      <c r="C80" s="88"/>
      <c r="D80" s="48"/>
    </row>
    <row r="81" spans="1:4" ht="12.75">
      <c r="A81" s="49">
        <v>6</v>
      </c>
      <c r="B81" s="55" t="s">
        <v>46</v>
      </c>
      <c r="C81" s="88">
        <v>91.67</v>
      </c>
      <c r="D81" s="48" t="s">
        <v>1151</v>
      </c>
    </row>
    <row r="82" spans="1:4" ht="12.75">
      <c r="A82" s="49"/>
      <c r="B82" s="57"/>
      <c r="C82" s="88"/>
      <c r="D82" s="48"/>
    </row>
    <row r="83" spans="1:4" ht="12.75">
      <c r="A83" s="49">
        <v>7</v>
      </c>
      <c r="B83" s="55" t="s">
        <v>47</v>
      </c>
      <c r="C83" s="88">
        <v>150</v>
      </c>
      <c r="D83" s="80" t="s">
        <v>477</v>
      </c>
    </row>
    <row r="84" spans="1:4" ht="12.75">
      <c r="A84" s="49"/>
      <c r="B84" s="57"/>
      <c r="C84" s="88"/>
      <c r="D84" s="48"/>
    </row>
    <row r="85" spans="1:4" ht="12.75">
      <c r="A85" s="49">
        <v>8</v>
      </c>
      <c r="B85" s="55" t="s">
        <v>478</v>
      </c>
      <c r="C85" s="87"/>
      <c r="D85" s="48" t="s">
        <v>479</v>
      </c>
    </row>
    <row r="86" spans="1:4" ht="12.75">
      <c r="A86" s="49"/>
      <c r="B86" s="81" t="s">
        <v>48</v>
      </c>
      <c r="C86" s="87"/>
      <c r="D86" s="48"/>
    </row>
    <row r="87" spans="1:4" ht="12.75">
      <c r="A87" s="49"/>
      <c r="B87" s="59" t="s">
        <v>62</v>
      </c>
      <c r="C87" s="87"/>
      <c r="D87" s="48"/>
    </row>
    <row r="88" spans="1:4" ht="12.75">
      <c r="A88" s="49"/>
      <c r="B88" s="57"/>
      <c r="C88" s="87"/>
      <c r="D88" s="48"/>
    </row>
    <row r="89" spans="1:4" ht="12.75">
      <c r="A89" s="49"/>
      <c r="B89" s="57"/>
      <c r="C89" s="58"/>
      <c r="D89" s="48"/>
    </row>
    <row r="90" spans="1:4" ht="12.75">
      <c r="A90" s="49"/>
      <c r="B90" s="57"/>
      <c r="C90" s="58"/>
      <c r="D90" s="48"/>
    </row>
    <row r="91" spans="1:4" ht="12.75">
      <c r="A91" s="49"/>
      <c r="B91" s="57"/>
      <c r="C91" s="58"/>
      <c r="D91" s="48"/>
    </row>
    <row r="92" spans="1:4" ht="12.75">
      <c r="A92" s="49"/>
      <c r="B92" s="57"/>
      <c r="C92" s="58"/>
      <c r="D92" s="48"/>
    </row>
    <row r="93" spans="1:4" ht="12.75">
      <c r="A93" s="49"/>
      <c r="B93" s="57"/>
      <c r="C93" s="58"/>
      <c r="D93" s="48"/>
    </row>
    <row r="94" spans="1:4" ht="12.75">
      <c r="A94" s="49"/>
      <c r="B94" s="57"/>
      <c r="C94" s="58"/>
      <c r="D94" s="48"/>
    </row>
    <row r="95" spans="1:4" ht="12.75">
      <c r="A95" s="49"/>
      <c r="B95" s="57"/>
      <c r="C95" s="58"/>
      <c r="D95" s="48"/>
    </row>
    <row r="96" spans="1:4" ht="12.75">
      <c r="A96" s="49"/>
      <c r="B96" s="57"/>
      <c r="C96" s="58"/>
      <c r="D96" s="48"/>
    </row>
    <row r="97" spans="1:4" ht="12.75">
      <c r="A97" s="49"/>
      <c r="B97" s="57"/>
      <c r="C97" s="58"/>
      <c r="D97" s="48"/>
    </row>
    <row r="98" spans="1:4" ht="12.75">
      <c r="A98" s="49"/>
      <c r="B98" s="57"/>
      <c r="C98" s="58"/>
      <c r="D98" s="48"/>
    </row>
    <row r="99" spans="1:4" ht="13.5" thickBot="1">
      <c r="A99" s="61"/>
      <c r="B99" s="69"/>
      <c r="C99" s="70"/>
      <c r="D99" s="71"/>
    </row>
    <row r="100" ht="12.75">
      <c r="A100" s="64"/>
    </row>
    <row r="101" ht="12.75">
      <c r="A101" s="64"/>
    </row>
    <row r="102" ht="12.75">
      <c r="A102" s="64"/>
    </row>
    <row r="103" ht="12.75">
      <c r="A103" s="64"/>
    </row>
    <row r="104" ht="12.75">
      <c r="A104" s="64"/>
    </row>
    <row r="105" ht="12.75">
      <c r="A105" s="64"/>
    </row>
  </sheetData>
  <sheetProtection/>
  <mergeCells count="2">
    <mergeCell ref="A1:B1"/>
    <mergeCell ref="D7:D8"/>
  </mergeCells>
  <printOptions/>
  <pageMargins left="0.75" right="0.75" top="1" bottom="1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6:Q17"/>
  <sheetViews>
    <sheetView zoomScalePageLayoutView="0" workbookViewId="0" topLeftCell="A4">
      <selection activeCell="M28" sqref="M28"/>
    </sheetView>
  </sheetViews>
  <sheetFormatPr defaultColWidth="11.421875" defaultRowHeight="12.75"/>
  <sheetData>
    <row r="16" spans="1:17" ht="34.5">
      <c r="A16" s="16" t="s">
        <v>520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5"/>
      <c r="Q16" s="15"/>
    </row>
    <row r="17" spans="1:8" ht="30">
      <c r="A17" s="14"/>
      <c r="B17" s="14"/>
      <c r="C17" s="14"/>
      <c r="D17" s="14"/>
      <c r="E17" s="14"/>
      <c r="F17" s="14"/>
      <c r="G17" s="14"/>
      <c r="H17" s="14"/>
    </row>
  </sheetData>
  <sheetProtection/>
  <printOptions/>
  <pageMargins left="0.75" right="0.75" top="1" bottom="1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72" sqref="K72"/>
    </sheetView>
  </sheetViews>
  <sheetFormatPr defaultColWidth="9.140625" defaultRowHeight="12.75"/>
  <cols>
    <col min="1" max="1" width="29.57421875" style="182" customWidth="1"/>
    <col min="2" max="11" width="14.28125" style="182" customWidth="1"/>
    <col min="12" max="12" width="2.140625" style="182" customWidth="1"/>
    <col min="13" max="13" width="14.140625" style="206" customWidth="1"/>
    <col min="14" max="16384" width="9.140625" style="182" customWidth="1"/>
  </cols>
  <sheetData>
    <row r="1" spans="1:11" ht="12.75" customHeight="1">
      <c r="A1" s="321" t="s">
        <v>1037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2.75" customHeight="1">
      <c r="A2" s="322" t="s">
        <v>1104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12.75" customHeight="1">
      <c r="A3" s="322" t="s">
        <v>1033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2.75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ht="25.5" customHeight="1">
      <c r="M5" s="207" t="s">
        <v>1057</v>
      </c>
    </row>
    <row r="6" spans="1:13" ht="12.75" customHeight="1">
      <c r="A6" s="208"/>
      <c r="B6" s="297" t="s">
        <v>1042</v>
      </c>
      <c r="C6" s="218" t="s">
        <v>1041</v>
      </c>
      <c r="D6" s="218" t="s">
        <v>1040</v>
      </c>
      <c r="E6" s="218" t="s">
        <v>1039</v>
      </c>
      <c r="F6" s="218" t="s">
        <v>1038</v>
      </c>
      <c r="G6" s="302">
        <v>42766</v>
      </c>
      <c r="H6" s="302">
        <v>42794</v>
      </c>
      <c r="I6" s="302">
        <v>42825</v>
      </c>
      <c r="J6" s="302">
        <v>42855</v>
      </c>
      <c r="K6" s="302">
        <v>42886</v>
      </c>
      <c r="L6" s="303"/>
      <c r="M6" s="304">
        <v>42916</v>
      </c>
    </row>
    <row r="7" ht="12.75" customHeight="1"/>
    <row r="8" ht="12.75" customHeight="1">
      <c r="A8" s="209" t="s">
        <v>14</v>
      </c>
    </row>
    <row r="9" spans="1:13" ht="12.75" customHeight="1">
      <c r="A9" s="195" t="s">
        <v>15</v>
      </c>
      <c r="B9" s="195">
        <v>420.4</v>
      </c>
      <c r="C9" s="195">
        <v>507.25</v>
      </c>
      <c r="D9" s="210">
        <v>409.31</v>
      </c>
      <c r="E9" s="210">
        <v>413.19</v>
      </c>
      <c r="F9" s="210">
        <v>241.83</v>
      </c>
      <c r="G9" s="210">
        <v>417.82</v>
      </c>
      <c r="H9" s="210">
        <v>280.29</v>
      </c>
      <c r="I9" s="210">
        <v>514.36</v>
      </c>
      <c r="J9" s="210">
        <v>437.21</v>
      </c>
      <c r="K9" s="210">
        <v>376.55</v>
      </c>
      <c r="L9" s="211"/>
      <c r="M9" s="212"/>
    </row>
    <row r="10" spans="1:13" ht="12.75" customHeight="1">
      <c r="A10" s="195" t="s">
        <v>30</v>
      </c>
      <c r="B10" s="195">
        <v>0</v>
      </c>
      <c r="C10" s="195">
        <v>540</v>
      </c>
      <c r="D10" s="210">
        <v>0</v>
      </c>
      <c r="E10" s="210">
        <v>0</v>
      </c>
      <c r="F10" s="210">
        <v>0</v>
      </c>
      <c r="G10" s="210">
        <v>0</v>
      </c>
      <c r="H10" s="210">
        <v>0</v>
      </c>
      <c r="I10" s="210">
        <v>0</v>
      </c>
      <c r="J10" s="210">
        <v>0</v>
      </c>
      <c r="K10" s="210">
        <v>0</v>
      </c>
      <c r="L10" s="211"/>
      <c r="M10" s="212"/>
    </row>
    <row r="11" spans="1:13" ht="12.75" customHeight="1">
      <c r="A11" s="195" t="s">
        <v>16</v>
      </c>
      <c r="B11" s="195">
        <v>53137.01</v>
      </c>
      <c r="C11" s="195">
        <v>53472.61</v>
      </c>
      <c r="D11" s="210">
        <v>38491.42</v>
      </c>
      <c r="E11" s="210">
        <v>46924.44</v>
      </c>
      <c r="F11" s="210">
        <v>18937.24</v>
      </c>
      <c r="G11" s="210">
        <v>46127.01</v>
      </c>
      <c r="H11" s="210">
        <v>32136.19</v>
      </c>
      <c r="I11" s="210">
        <v>56524.08</v>
      </c>
      <c r="J11" s="210">
        <v>55780.39</v>
      </c>
      <c r="K11" s="210">
        <v>47868.35</v>
      </c>
      <c r="L11" s="211"/>
      <c r="M11" s="212"/>
    </row>
    <row r="12" spans="1:13" ht="12.75" customHeight="1">
      <c r="A12" s="195" t="s">
        <v>17</v>
      </c>
      <c r="B12" s="195">
        <v>1242.34</v>
      </c>
      <c r="C12" s="195">
        <v>95</v>
      </c>
      <c r="D12" s="210">
        <v>0</v>
      </c>
      <c r="E12" s="210">
        <v>0</v>
      </c>
      <c r="F12" s="210">
        <v>0</v>
      </c>
      <c r="G12" s="210">
        <v>0</v>
      </c>
      <c r="H12" s="210">
        <v>0</v>
      </c>
      <c r="I12" s="210">
        <v>-77.32</v>
      </c>
      <c r="J12" s="210">
        <v>435.12</v>
      </c>
      <c r="K12" s="210">
        <v>0</v>
      </c>
      <c r="L12" s="211"/>
      <c r="M12" s="212"/>
    </row>
    <row r="13" spans="1:13" ht="12.75" customHeight="1">
      <c r="A13" s="195" t="s">
        <v>31</v>
      </c>
      <c r="B13" s="195">
        <v>0</v>
      </c>
      <c r="C13" s="195">
        <v>280.08</v>
      </c>
      <c r="D13" s="210">
        <v>0</v>
      </c>
      <c r="E13" s="210">
        <v>0</v>
      </c>
      <c r="F13" s="210">
        <v>280.04</v>
      </c>
      <c r="G13" s="210">
        <v>0</v>
      </c>
      <c r="H13" s="210">
        <v>360</v>
      </c>
      <c r="I13" s="210">
        <v>0</v>
      </c>
      <c r="J13" s="210">
        <v>0</v>
      </c>
      <c r="K13" s="210">
        <v>0</v>
      </c>
      <c r="L13" s="211"/>
      <c r="M13" s="212"/>
    </row>
    <row r="14" spans="1:13" ht="12.75" customHeight="1">
      <c r="A14" s="195" t="s">
        <v>1043</v>
      </c>
      <c r="B14" s="195">
        <v>0</v>
      </c>
      <c r="C14" s="195">
        <v>0</v>
      </c>
      <c r="D14" s="210">
        <v>6.55</v>
      </c>
      <c r="E14" s="210">
        <v>0</v>
      </c>
      <c r="F14" s="210">
        <v>0</v>
      </c>
      <c r="G14" s="210">
        <v>0</v>
      </c>
      <c r="H14" s="210">
        <v>0</v>
      </c>
      <c r="I14" s="210">
        <v>0</v>
      </c>
      <c r="J14" s="210">
        <v>0.1</v>
      </c>
      <c r="K14" s="210">
        <v>514.83</v>
      </c>
      <c r="L14" s="211"/>
      <c r="M14" s="212"/>
    </row>
    <row r="15" spans="1:13" ht="12.75" customHeight="1">
      <c r="A15" s="213" t="s">
        <v>18</v>
      </c>
      <c r="B15" s="213">
        <f aca="true" t="shared" si="0" ref="B15:K15">SUM(B9:B14)</f>
        <v>54799.75</v>
      </c>
      <c r="C15" s="213">
        <f t="shared" si="0"/>
        <v>54894.94</v>
      </c>
      <c r="D15" s="214">
        <f t="shared" si="0"/>
        <v>38907.28</v>
      </c>
      <c r="E15" s="214">
        <f t="shared" si="0"/>
        <v>47337.630000000005</v>
      </c>
      <c r="F15" s="214">
        <f t="shared" si="0"/>
        <v>19459.110000000004</v>
      </c>
      <c r="G15" s="214">
        <f t="shared" si="0"/>
        <v>46544.83</v>
      </c>
      <c r="H15" s="214">
        <f t="shared" si="0"/>
        <v>32776.479999999996</v>
      </c>
      <c r="I15" s="214">
        <f t="shared" si="0"/>
        <v>56961.12</v>
      </c>
      <c r="J15" s="214">
        <f t="shared" si="0"/>
        <v>56652.82</v>
      </c>
      <c r="K15" s="214">
        <f t="shared" si="0"/>
        <v>48759.73</v>
      </c>
      <c r="L15" s="211"/>
      <c r="M15" s="212"/>
    </row>
    <row r="16" spans="4:13" ht="12.75" customHeight="1">
      <c r="D16" s="215"/>
      <c r="E16" s="215"/>
      <c r="F16" s="215"/>
      <c r="G16" s="215"/>
      <c r="H16" s="215"/>
      <c r="I16" s="215"/>
      <c r="J16" s="215"/>
      <c r="K16" s="215"/>
      <c r="L16" s="215"/>
      <c r="M16" s="212"/>
    </row>
    <row r="17" spans="1:13" ht="12.75" customHeight="1">
      <c r="A17" s="209" t="s">
        <v>33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2"/>
    </row>
    <row r="18" spans="1:13" ht="12.75" customHeight="1">
      <c r="A18" s="195" t="s">
        <v>34</v>
      </c>
      <c r="B18" s="195">
        <v>540</v>
      </c>
      <c r="C18" s="195">
        <v>1080</v>
      </c>
      <c r="D18" s="210">
        <v>0</v>
      </c>
      <c r="E18" s="210">
        <v>540</v>
      </c>
      <c r="F18" s="210">
        <v>540</v>
      </c>
      <c r="G18" s="210">
        <v>540</v>
      </c>
      <c r="H18" s="210">
        <v>540</v>
      </c>
      <c r="I18" s="210">
        <v>0</v>
      </c>
      <c r="J18" s="210">
        <v>0</v>
      </c>
      <c r="K18" s="210">
        <v>0</v>
      </c>
      <c r="L18" s="211"/>
      <c r="M18" s="212">
        <f>2509*2</f>
        <v>5018</v>
      </c>
    </row>
    <row r="19" spans="1:13" ht="12.75" customHeight="1">
      <c r="A19" s="195" t="s">
        <v>35</v>
      </c>
      <c r="B19" s="195">
        <v>696.19</v>
      </c>
      <c r="C19" s="195">
        <v>378.86</v>
      </c>
      <c r="D19" s="210">
        <v>241.95</v>
      </c>
      <c r="E19" s="210">
        <v>1233.6</v>
      </c>
      <c r="F19" s="210">
        <v>271.08</v>
      </c>
      <c r="G19" s="210">
        <v>837.87</v>
      </c>
      <c r="H19" s="210">
        <v>964.95</v>
      </c>
      <c r="I19" s="210">
        <v>938.42</v>
      </c>
      <c r="J19" s="210">
        <v>847.02</v>
      </c>
      <c r="K19" s="210">
        <v>973.82</v>
      </c>
      <c r="L19" s="211"/>
      <c r="M19" s="212">
        <f aca="true" t="shared" si="1" ref="M19:M56">+AVERAGE(G19:K19)</f>
        <v>912.4159999999999</v>
      </c>
    </row>
    <row r="20" spans="1:13" ht="12.75" customHeight="1">
      <c r="A20" s="195" t="s">
        <v>705</v>
      </c>
      <c r="B20" s="195">
        <v>0</v>
      </c>
      <c r="C20" s="195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7658.52</v>
      </c>
      <c r="J20" s="210">
        <v>0</v>
      </c>
      <c r="K20" s="210">
        <v>0</v>
      </c>
      <c r="L20" s="211"/>
      <c r="M20" s="212">
        <v>0</v>
      </c>
    </row>
    <row r="21" spans="1:13" ht="12.75" customHeight="1">
      <c r="A21" s="195" t="s">
        <v>36</v>
      </c>
      <c r="B21" s="195">
        <v>464.07</v>
      </c>
      <c r="C21" s="195">
        <v>467.84</v>
      </c>
      <c r="D21" s="210">
        <v>353.73</v>
      </c>
      <c r="E21" s="210">
        <v>368.82</v>
      </c>
      <c r="F21" s="210">
        <v>250.48</v>
      </c>
      <c r="G21" s="210">
        <v>395.85</v>
      </c>
      <c r="H21" s="210">
        <v>304.81</v>
      </c>
      <c r="I21" s="210">
        <v>275.14</v>
      </c>
      <c r="J21" s="210">
        <v>1080.51</v>
      </c>
      <c r="K21" s="210">
        <v>1726.44</v>
      </c>
      <c r="L21" s="211"/>
      <c r="M21" s="212">
        <f>+_xlfn.AVERAGEIF(G21:K21,"&lt;1000")</f>
        <v>325.2666666666667</v>
      </c>
    </row>
    <row r="22" spans="1:13" ht="12.75" customHeight="1">
      <c r="A22" s="195" t="s">
        <v>38</v>
      </c>
      <c r="B22" s="195">
        <v>587.57</v>
      </c>
      <c r="C22" s="195">
        <v>534.52</v>
      </c>
      <c r="D22" s="210">
        <v>508.08</v>
      </c>
      <c r="E22" s="210">
        <v>429.89</v>
      </c>
      <c r="F22" s="210">
        <v>715.7</v>
      </c>
      <c r="G22" s="210">
        <v>326.24</v>
      </c>
      <c r="H22" s="210">
        <v>564.31</v>
      </c>
      <c r="I22" s="210">
        <v>500.79</v>
      </c>
      <c r="J22" s="210">
        <v>113.42</v>
      </c>
      <c r="K22" s="210">
        <v>623.19</v>
      </c>
      <c r="L22" s="211"/>
      <c r="M22" s="212">
        <f t="shared" si="1"/>
        <v>425.59</v>
      </c>
    </row>
    <row r="23" spans="1:13" ht="12.75" customHeight="1">
      <c r="A23" s="195" t="s">
        <v>40</v>
      </c>
      <c r="B23" s="195">
        <v>0</v>
      </c>
      <c r="C23" s="195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235.95</v>
      </c>
      <c r="J23" s="210">
        <v>0</v>
      </c>
      <c r="K23" s="210">
        <v>0</v>
      </c>
      <c r="L23" s="211"/>
      <c r="M23" s="212">
        <v>0</v>
      </c>
    </row>
    <row r="24" spans="1:13" ht="12.75" customHeight="1">
      <c r="A24" s="195" t="s">
        <v>41</v>
      </c>
      <c r="B24" s="195">
        <v>235.99</v>
      </c>
      <c r="C24" s="195">
        <v>235.99</v>
      </c>
      <c r="D24" s="210">
        <v>235.99</v>
      </c>
      <c r="E24" s="210">
        <v>325.99</v>
      </c>
      <c r="F24" s="210">
        <v>235.99</v>
      </c>
      <c r="G24" s="210">
        <v>235.99</v>
      </c>
      <c r="H24" s="210">
        <v>235.99</v>
      </c>
      <c r="I24" s="210">
        <v>325.99</v>
      </c>
      <c r="J24" s="210">
        <v>235.99</v>
      </c>
      <c r="K24" s="210">
        <v>235.99</v>
      </c>
      <c r="L24" s="211"/>
      <c r="M24" s="212">
        <f t="shared" si="1"/>
        <v>253.99</v>
      </c>
    </row>
    <row r="25" spans="1:13" ht="12.75" customHeight="1">
      <c r="A25" s="195" t="s">
        <v>42</v>
      </c>
      <c r="B25" s="195">
        <v>2516.34</v>
      </c>
      <c r="C25" s="195">
        <v>2096.22</v>
      </c>
      <c r="D25" s="210">
        <v>1679.66</v>
      </c>
      <c r="E25" s="210">
        <v>1758.88</v>
      </c>
      <c r="F25" s="210">
        <v>1995.61</v>
      </c>
      <c r="G25" s="210">
        <v>3396.21</v>
      </c>
      <c r="H25" s="210">
        <v>1076.41</v>
      </c>
      <c r="I25" s="210">
        <v>2641.97</v>
      </c>
      <c r="J25" s="210">
        <v>1433.12</v>
      </c>
      <c r="K25" s="210">
        <v>4306.66</v>
      </c>
      <c r="L25" s="211"/>
      <c r="M25" s="212">
        <f t="shared" si="1"/>
        <v>2570.874</v>
      </c>
    </row>
    <row r="26" spans="1:13" ht="12.75" customHeight="1">
      <c r="A26" s="195" t="s">
        <v>43</v>
      </c>
      <c r="B26" s="195">
        <v>386.26</v>
      </c>
      <c r="C26" s="195">
        <v>378.35</v>
      </c>
      <c r="D26" s="210">
        <v>408.48</v>
      </c>
      <c r="E26" s="210">
        <v>401.48</v>
      </c>
      <c r="F26" s="210">
        <v>0</v>
      </c>
      <c r="G26" s="210">
        <v>0</v>
      </c>
      <c r="H26" s="210">
        <v>398.97</v>
      </c>
      <c r="I26" s="210">
        <v>0</v>
      </c>
      <c r="J26" s="210">
        <v>0</v>
      </c>
      <c r="K26" s="210">
        <v>0</v>
      </c>
      <c r="L26" s="211"/>
      <c r="M26" s="212">
        <v>0</v>
      </c>
    </row>
    <row r="27" spans="1:13" ht="12.75" customHeight="1">
      <c r="A27" s="195" t="s">
        <v>20</v>
      </c>
      <c r="B27" s="195">
        <v>2100</v>
      </c>
      <c r="C27" s="195">
        <v>0</v>
      </c>
      <c r="D27" s="210">
        <v>0</v>
      </c>
      <c r="E27" s="210">
        <v>3600</v>
      </c>
      <c r="F27" s="210">
        <v>0</v>
      </c>
      <c r="G27" s="210">
        <v>1800</v>
      </c>
      <c r="H27" s="210">
        <v>3600</v>
      </c>
      <c r="I27" s="210">
        <v>0</v>
      </c>
      <c r="J27" s="210">
        <v>1800</v>
      </c>
      <c r="K27" s="210">
        <v>1800</v>
      </c>
      <c r="L27" s="211"/>
      <c r="M27" s="212">
        <f t="shared" si="1"/>
        <v>1800</v>
      </c>
    </row>
    <row r="28" spans="1:13" ht="12.75" customHeight="1">
      <c r="A28" s="195" t="s">
        <v>45</v>
      </c>
      <c r="B28" s="195">
        <v>0</v>
      </c>
      <c r="C28" s="195">
        <v>220</v>
      </c>
      <c r="D28" s="210">
        <v>0</v>
      </c>
      <c r="E28" s="210">
        <v>0</v>
      </c>
      <c r="F28" s="210">
        <v>45.14</v>
      </c>
      <c r="G28" s="210">
        <v>0</v>
      </c>
      <c r="H28" s="210">
        <v>0</v>
      </c>
      <c r="I28" s="210">
        <v>0</v>
      </c>
      <c r="J28" s="210">
        <v>10</v>
      </c>
      <c r="K28" s="210">
        <v>0</v>
      </c>
      <c r="L28" s="211"/>
      <c r="M28" s="212">
        <v>0</v>
      </c>
    </row>
    <row r="29" spans="1:13" ht="12.75" customHeight="1">
      <c r="A29" s="195" t="s">
        <v>46</v>
      </c>
      <c r="B29" s="195">
        <v>91.67</v>
      </c>
      <c r="C29" s="195">
        <v>91.67</v>
      </c>
      <c r="D29" s="210">
        <v>190.67</v>
      </c>
      <c r="E29" s="210">
        <v>91.67</v>
      </c>
      <c r="F29" s="210">
        <v>291.67</v>
      </c>
      <c r="G29" s="210">
        <v>91.67</v>
      </c>
      <c r="H29" s="210">
        <v>91.67</v>
      </c>
      <c r="I29" s="210">
        <v>91.67</v>
      </c>
      <c r="J29" s="210">
        <v>91.67</v>
      </c>
      <c r="K29" s="210">
        <v>112.5</v>
      </c>
      <c r="L29" s="211"/>
      <c r="M29" s="212">
        <f t="shared" si="1"/>
        <v>95.836</v>
      </c>
    </row>
    <row r="30" spans="1:13" ht="12.75" customHeight="1">
      <c r="A30" s="195" t="s">
        <v>47</v>
      </c>
      <c r="B30" s="195">
        <v>180</v>
      </c>
      <c r="C30" s="195">
        <v>180</v>
      </c>
      <c r="D30" s="210">
        <v>180</v>
      </c>
      <c r="E30" s="210">
        <v>180</v>
      </c>
      <c r="F30" s="210">
        <v>180</v>
      </c>
      <c r="G30" s="210">
        <v>180</v>
      </c>
      <c r="H30" s="210">
        <v>180</v>
      </c>
      <c r="I30" s="210">
        <v>180</v>
      </c>
      <c r="J30" s="210">
        <v>60</v>
      </c>
      <c r="K30" s="210">
        <v>-900</v>
      </c>
      <c r="L30" s="211"/>
      <c r="M30" s="212">
        <f>+_xlfn.AVERAGEIF(G30:K30,"&gt;0")</f>
        <v>150</v>
      </c>
    </row>
    <row r="31" spans="1:13" ht="12.75" customHeight="1">
      <c r="A31" s="195" t="s">
        <v>21</v>
      </c>
      <c r="B31" s="195">
        <v>758.06</v>
      </c>
      <c r="C31" s="195">
        <v>1014.09</v>
      </c>
      <c r="D31" s="210">
        <v>1602.72</v>
      </c>
      <c r="E31" s="210">
        <v>2974.17</v>
      </c>
      <c r="F31" s="210">
        <v>1304.06</v>
      </c>
      <c r="G31" s="210">
        <v>1525.27</v>
      </c>
      <c r="H31" s="210">
        <v>675.51</v>
      </c>
      <c r="I31" s="210">
        <v>1671.1</v>
      </c>
      <c r="J31" s="210">
        <v>3357.91</v>
      </c>
      <c r="K31" s="210">
        <v>3217.17</v>
      </c>
      <c r="L31" s="211"/>
      <c r="M31" s="212">
        <f>+AVERAGE(G31:K31)+1000</f>
        <v>3089.392</v>
      </c>
    </row>
    <row r="32" spans="1:13" ht="12.75" customHeight="1">
      <c r="A32" s="195" t="s">
        <v>22</v>
      </c>
      <c r="B32" s="195">
        <v>0</v>
      </c>
      <c r="C32" s="195">
        <v>991.25</v>
      </c>
      <c r="D32" s="210">
        <v>1545.64</v>
      </c>
      <c r="E32" s="210">
        <v>1117</v>
      </c>
      <c r="F32" s="210">
        <v>903</v>
      </c>
      <c r="G32" s="210">
        <v>601</v>
      </c>
      <c r="H32" s="210">
        <v>0</v>
      </c>
      <c r="I32" s="210">
        <v>0</v>
      </c>
      <c r="J32" s="210">
        <v>0</v>
      </c>
      <c r="K32" s="210">
        <v>0</v>
      </c>
      <c r="L32" s="211"/>
      <c r="M32" s="212">
        <v>0</v>
      </c>
    </row>
    <row r="33" spans="1:13" ht="12.75" customHeight="1">
      <c r="A33" s="195" t="s">
        <v>48</v>
      </c>
      <c r="B33" s="195">
        <v>5.44</v>
      </c>
      <c r="C33" s="195">
        <v>9.49</v>
      </c>
      <c r="D33" s="210">
        <v>9.49</v>
      </c>
      <c r="E33" s="210">
        <v>9.49</v>
      </c>
      <c r="F33" s="210">
        <v>9.49</v>
      </c>
      <c r="G33" s="210">
        <v>9.49</v>
      </c>
      <c r="H33" s="210">
        <v>9.49</v>
      </c>
      <c r="I33" s="210">
        <v>9.49</v>
      </c>
      <c r="J33" s="210">
        <v>9.49</v>
      </c>
      <c r="K33" s="210">
        <v>9.49</v>
      </c>
      <c r="L33" s="211"/>
      <c r="M33" s="212">
        <f t="shared" si="1"/>
        <v>9.49</v>
      </c>
    </row>
    <row r="34" spans="1:13" ht="12.75" customHeight="1">
      <c r="A34" s="195" t="s">
        <v>49</v>
      </c>
      <c r="B34" s="195">
        <v>136.48</v>
      </c>
      <c r="C34" s="195">
        <v>64.33</v>
      </c>
      <c r="D34" s="210">
        <v>269.83</v>
      </c>
      <c r="E34" s="210">
        <v>347.23</v>
      </c>
      <c r="F34" s="210">
        <v>59.98</v>
      </c>
      <c r="G34" s="210">
        <v>194.75</v>
      </c>
      <c r="H34" s="210">
        <v>203.74</v>
      </c>
      <c r="I34" s="210">
        <v>94.97</v>
      </c>
      <c r="J34" s="210">
        <v>17.98</v>
      </c>
      <c r="K34" s="210">
        <v>17.98</v>
      </c>
      <c r="L34" s="211"/>
      <c r="M34" s="212">
        <f>+_xlfn.AVERAGEIF(G34:K34,"&lt;100")</f>
        <v>43.64333333333334</v>
      </c>
    </row>
    <row r="35" spans="1:13" ht="12.75" customHeight="1">
      <c r="A35" s="195" t="s">
        <v>23</v>
      </c>
      <c r="B35" s="195">
        <v>0</v>
      </c>
      <c r="C35" s="195">
        <v>0</v>
      </c>
      <c r="D35" s="210">
        <v>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1172.08</v>
      </c>
      <c r="K35" s="210">
        <v>0</v>
      </c>
      <c r="L35" s="211"/>
      <c r="M35" s="212">
        <v>0</v>
      </c>
    </row>
    <row r="36" spans="1:13" ht="12.75" customHeight="1">
      <c r="A36" s="195" t="s">
        <v>51</v>
      </c>
      <c r="B36" s="195">
        <v>883.35</v>
      </c>
      <c r="C36" s="195">
        <v>30.75</v>
      </c>
      <c r="D36" s="210">
        <v>32.82</v>
      </c>
      <c r="E36" s="210">
        <v>32.48</v>
      </c>
      <c r="F36" s="210">
        <v>212.27</v>
      </c>
      <c r="G36" s="210">
        <v>32.61</v>
      </c>
      <c r="H36" s="210">
        <v>-31.44</v>
      </c>
      <c r="I36" s="210">
        <v>0</v>
      </c>
      <c r="J36" s="210">
        <v>0</v>
      </c>
      <c r="K36" s="210">
        <v>0</v>
      </c>
      <c r="L36" s="211"/>
      <c r="M36" s="212">
        <v>0</v>
      </c>
    </row>
    <row r="37" spans="1:13" ht="12.75" customHeight="1">
      <c r="A37" s="195" t="s">
        <v>52</v>
      </c>
      <c r="B37" s="195">
        <v>0</v>
      </c>
      <c r="C37" s="195">
        <v>0</v>
      </c>
      <c r="D37" s="210">
        <v>0</v>
      </c>
      <c r="E37" s="210">
        <v>157.2</v>
      </c>
      <c r="F37" s="210">
        <v>0</v>
      </c>
      <c r="G37" s="210">
        <v>0</v>
      </c>
      <c r="H37" s="210">
        <v>144</v>
      </c>
      <c r="I37" s="210">
        <v>0</v>
      </c>
      <c r="J37" s="210">
        <v>0</v>
      </c>
      <c r="K37" s="210">
        <v>0</v>
      </c>
      <c r="L37" s="211"/>
      <c r="M37" s="212">
        <v>0</v>
      </c>
    </row>
    <row r="38" spans="1:13" ht="12.75" customHeight="1">
      <c r="A38" s="195" t="s">
        <v>24</v>
      </c>
      <c r="B38" s="195">
        <v>47226.66</v>
      </c>
      <c r="C38" s="195">
        <v>36166.89</v>
      </c>
      <c r="D38" s="210">
        <v>187.08</v>
      </c>
      <c r="E38" s="210">
        <v>611.61</v>
      </c>
      <c r="F38" s="210">
        <v>226.16</v>
      </c>
      <c r="G38" s="210">
        <v>45271.43</v>
      </c>
      <c r="H38" s="210">
        <v>0</v>
      </c>
      <c r="I38" s="210">
        <v>0</v>
      </c>
      <c r="J38" s="210">
        <v>41082.71</v>
      </c>
      <c r="K38" s="210">
        <v>0</v>
      </c>
      <c r="L38" s="211"/>
      <c r="M38" s="212">
        <v>58031</v>
      </c>
    </row>
    <row r="39" spans="1:13" ht="12.75" customHeight="1">
      <c r="A39" s="195" t="s">
        <v>53</v>
      </c>
      <c r="B39" s="195">
        <v>0</v>
      </c>
      <c r="C39" s="195">
        <v>0</v>
      </c>
      <c r="D39" s="210">
        <v>34.95</v>
      </c>
      <c r="E39" s="210">
        <v>41.7</v>
      </c>
      <c r="F39" s="210">
        <v>0</v>
      </c>
      <c r="G39" s="210">
        <v>0</v>
      </c>
      <c r="H39" s="210">
        <v>0</v>
      </c>
      <c r="I39" s="210">
        <v>0</v>
      </c>
      <c r="J39" s="210">
        <v>0</v>
      </c>
      <c r="K39" s="210">
        <v>0</v>
      </c>
      <c r="L39" s="211"/>
      <c r="M39" s="212">
        <f t="shared" si="1"/>
        <v>0</v>
      </c>
    </row>
    <row r="40" spans="1:13" ht="12.75" customHeight="1">
      <c r="A40" s="195" t="s">
        <v>25</v>
      </c>
      <c r="B40" s="195">
        <v>148.61</v>
      </c>
      <c r="C40" s="195">
        <v>0</v>
      </c>
      <c r="D40" s="210">
        <v>0</v>
      </c>
      <c r="E40" s="210">
        <v>0</v>
      </c>
      <c r="F40" s="210">
        <v>0</v>
      </c>
      <c r="G40" s="210">
        <v>213.91</v>
      </c>
      <c r="H40" s="210">
        <v>0</v>
      </c>
      <c r="I40" s="210">
        <v>0</v>
      </c>
      <c r="J40" s="210">
        <v>0</v>
      </c>
      <c r="K40" s="210">
        <v>235.68</v>
      </c>
      <c r="L40" s="211"/>
      <c r="M40" s="212">
        <v>0</v>
      </c>
    </row>
    <row r="41" spans="1:13" ht="12.75" customHeight="1">
      <c r="A41" s="195" t="s">
        <v>54</v>
      </c>
      <c r="B41" s="195">
        <v>0</v>
      </c>
      <c r="C41" s="195">
        <v>145.07</v>
      </c>
      <c r="D41" s="210">
        <v>35.79</v>
      </c>
      <c r="E41" s="210">
        <v>24.46</v>
      </c>
      <c r="F41" s="210">
        <v>0</v>
      </c>
      <c r="G41" s="210">
        <v>46.95</v>
      </c>
      <c r="H41" s="210">
        <v>0</v>
      </c>
      <c r="I41" s="210">
        <v>0</v>
      </c>
      <c r="J41" s="210">
        <v>89.64</v>
      </c>
      <c r="K41" s="210">
        <v>0</v>
      </c>
      <c r="L41" s="211"/>
      <c r="M41" s="212">
        <v>0</v>
      </c>
    </row>
    <row r="42" spans="1:13" ht="12.75" customHeight="1">
      <c r="A42" s="195" t="s">
        <v>55</v>
      </c>
      <c r="B42" s="195">
        <v>0</v>
      </c>
      <c r="C42" s="195">
        <v>205.2</v>
      </c>
      <c r="D42" s="210">
        <v>0</v>
      </c>
      <c r="E42" s="210">
        <v>199</v>
      </c>
      <c r="F42" s="210">
        <v>324.34</v>
      </c>
      <c r="G42" s="210">
        <v>0</v>
      </c>
      <c r="H42" s="210">
        <v>418</v>
      </c>
      <c r="I42" s="210">
        <v>471</v>
      </c>
      <c r="J42" s="210">
        <v>0</v>
      </c>
      <c r="K42" s="210">
        <v>0</v>
      </c>
      <c r="L42" s="211"/>
      <c r="M42" s="212">
        <f t="shared" si="1"/>
        <v>177.8</v>
      </c>
    </row>
    <row r="43" spans="1:13" ht="12.75" customHeight="1">
      <c r="A43" s="195" t="s">
        <v>56</v>
      </c>
      <c r="B43" s="195">
        <v>0</v>
      </c>
      <c r="C43" s="195">
        <v>95</v>
      </c>
      <c r="D43" s="210">
        <v>70</v>
      </c>
      <c r="E43" s="210">
        <v>182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1"/>
      <c r="M43" s="212">
        <f t="shared" si="1"/>
        <v>0</v>
      </c>
    </row>
    <row r="44" spans="1:13" ht="12.75" customHeight="1">
      <c r="A44" s="195" t="s">
        <v>57</v>
      </c>
      <c r="B44" s="195">
        <v>0</v>
      </c>
      <c r="C44" s="195">
        <v>0</v>
      </c>
      <c r="D44" s="210">
        <v>0</v>
      </c>
      <c r="E44" s="210">
        <v>40</v>
      </c>
      <c r="F44" s="210">
        <v>0</v>
      </c>
      <c r="G44" s="210">
        <v>0</v>
      </c>
      <c r="H44" s="210">
        <v>0</v>
      </c>
      <c r="I44" s="210">
        <v>40</v>
      </c>
      <c r="J44" s="210">
        <v>0</v>
      </c>
      <c r="K44" s="210">
        <v>0</v>
      </c>
      <c r="L44" s="211"/>
      <c r="M44" s="212">
        <f t="shared" si="1"/>
        <v>8</v>
      </c>
    </row>
    <row r="45" spans="1:13" ht="12.75" customHeight="1">
      <c r="A45" s="195" t="s">
        <v>58</v>
      </c>
      <c r="B45" s="195">
        <v>120.23</v>
      </c>
      <c r="C45" s="195">
        <v>60.01</v>
      </c>
      <c r="D45" s="210">
        <v>89.17</v>
      </c>
      <c r="E45" s="210">
        <v>87.8</v>
      </c>
      <c r="F45" s="210">
        <v>94.24</v>
      </c>
      <c r="G45" s="210">
        <v>38.38</v>
      </c>
      <c r="H45" s="210">
        <v>35.3</v>
      </c>
      <c r="I45" s="210">
        <v>0</v>
      </c>
      <c r="J45" s="210">
        <v>168.9</v>
      </c>
      <c r="K45" s="210">
        <v>0</v>
      </c>
      <c r="L45" s="211"/>
      <c r="M45" s="212">
        <f t="shared" si="1"/>
        <v>48.516000000000005</v>
      </c>
    </row>
    <row r="46" spans="1:13" ht="12.75" customHeight="1">
      <c r="A46" s="195" t="s">
        <v>26</v>
      </c>
      <c r="B46" s="195">
        <v>0</v>
      </c>
      <c r="C46" s="195">
        <v>1800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1"/>
      <c r="M46" s="212">
        <f t="shared" si="1"/>
        <v>0</v>
      </c>
    </row>
    <row r="47" spans="1:13" ht="12.75" customHeight="1">
      <c r="A47" s="195" t="s">
        <v>59</v>
      </c>
      <c r="B47" s="195">
        <v>0</v>
      </c>
      <c r="C47" s="195">
        <v>467.04</v>
      </c>
      <c r="D47" s="210">
        <v>1050.84</v>
      </c>
      <c r="E47" s="210">
        <v>583.8</v>
      </c>
      <c r="F47" s="210">
        <v>467.04</v>
      </c>
      <c r="G47" s="210">
        <v>467.04</v>
      </c>
      <c r="H47" s="210">
        <v>0</v>
      </c>
      <c r="I47" s="210">
        <v>0</v>
      </c>
      <c r="J47" s="210">
        <v>0</v>
      </c>
      <c r="K47" s="210">
        <v>0</v>
      </c>
      <c r="L47" s="211"/>
      <c r="M47" s="212">
        <v>0</v>
      </c>
    </row>
    <row r="48" spans="1:13" ht="12.75" customHeight="1">
      <c r="A48" s="195" t="s">
        <v>60</v>
      </c>
      <c r="B48" s="195">
        <v>23.49</v>
      </c>
      <c r="C48" s="195">
        <v>24.74</v>
      </c>
      <c r="D48" s="210">
        <v>25.41</v>
      </c>
      <c r="E48" s="210">
        <v>26.5</v>
      </c>
      <c r="F48" s="210">
        <v>195.17</v>
      </c>
      <c r="G48" s="210">
        <v>14.01</v>
      </c>
      <c r="H48" s="210">
        <v>20.01</v>
      </c>
      <c r="I48" s="210">
        <v>7.84</v>
      </c>
      <c r="J48" s="210">
        <v>7.72</v>
      </c>
      <c r="K48" s="210">
        <v>0</v>
      </c>
      <c r="L48" s="211"/>
      <c r="M48" s="212">
        <f t="shared" si="1"/>
        <v>9.916</v>
      </c>
    </row>
    <row r="49" spans="1:13" ht="12.75" customHeight="1">
      <c r="A49" s="195" t="s">
        <v>62</v>
      </c>
      <c r="B49" s="195">
        <v>148.35</v>
      </c>
      <c r="C49" s="195">
        <v>246.8</v>
      </c>
      <c r="D49" s="210">
        <v>187.91</v>
      </c>
      <c r="E49" s="210">
        <v>285.82</v>
      </c>
      <c r="F49" s="210">
        <v>443.78</v>
      </c>
      <c r="G49" s="210">
        <v>242.81</v>
      </c>
      <c r="H49" s="210">
        <v>36.76</v>
      </c>
      <c r="I49" s="210">
        <v>382.26</v>
      </c>
      <c r="J49" s="210">
        <v>28.44</v>
      </c>
      <c r="K49" s="210">
        <v>28.44</v>
      </c>
      <c r="L49" s="211"/>
      <c r="M49" s="212">
        <f t="shared" si="1"/>
        <v>143.74200000000002</v>
      </c>
    </row>
    <row r="50" spans="1:13" ht="12.75" customHeight="1">
      <c r="A50" s="195" t="s">
        <v>64</v>
      </c>
      <c r="B50" s="195">
        <v>0</v>
      </c>
      <c r="C50" s="195">
        <v>0</v>
      </c>
      <c r="D50" s="210">
        <v>0</v>
      </c>
      <c r="E50" s="210">
        <v>397.2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1"/>
      <c r="M50" s="212">
        <f t="shared" si="1"/>
        <v>0</v>
      </c>
    </row>
    <row r="51" spans="1:13" ht="12.75" customHeight="1">
      <c r="A51" s="195" t="s">
        <v>66</v>
      </c>
      <c r="B51" s="195">
        <v>2141.19</v>
      </c>
      <c r="C51" s="195">
        <v>474.33</v>
      </c>
      <c r="D51" s="210">
        <v>583.11</v>
      </c>
      <c r="E51" s="210">
        <v>1629.22</v>
      </c>
      <c r="F51" s="210">
        <v>3302.41</v>
      </c>
      <c r="G51" s="210">
        <v>1369.38</v>
      </c>
      <c r="H51" s="210">
        <v>552.3</v>
      </c>
      <c r="I51" s="210">
        <v>3478.87</v>
      </c>
      <c r="J51" s="210">
        <v>655.59</v>
      </c>
      <c r="K51" s="210">
        <v>2306.49</v>
      </c>
      <c r="L51" s="211"/>
      <c r="M51" s="212">
        <f t="shared" si="1"/>
        <v>1672.5260000000003</v>
      </c>
    </row>
    <row r="52" spans="1:13" ht="12.75" customHeight="1">
      <c r="A52" s="195" t="s">
        <v>67</v>
      </c>
      <c r="B52" s="195">
        <v>5204.16</v>
      </c>
      <c r="C52" s="195">
        <v>5430.68</v>
      </c>
      <c r="D52" s="210">
        <v>4641.66</v>
      </c>
      <c r="E52" s="210">
        <v>4629.16</v>
      </c>
      <c r="F52" s="210">
        <v>2208.33</v>
      </c>
      <c r="G52" s="210">
        <v>2289.21</v>
      </c>
      <c r="H52" s="210">
        <v>2208.33</v>
      </c>
      <c r="I52" s="210">
        <v>2309.14</v>
      </c>
      <c r="J52" s="210">
        <v>2223.26</v>
      </c>
      <c r="K52" s="210">
        <v>2331.73</v>
      </c>
      <c r="L52" s="211"/>
      <c r="M52" s="212">
        <f t="shared" si="1"/>
        <v>2272.334</v>
      </c>
    </row>
    <row r="53" spans="1:13" ht="12.75" customHeight="1">
      <c r="A53" s="195" t="s">
        <v>1136</v>
      </c>
      <c r="B53" s="195">
        <v>0</v>
      </c>
      <c r="C53" s="195">
        <v>0</v>
      </c>
      <c r="D53" s="210">
        <v>0</v>
      </c>
      <c r="E53" s="210">
        <v>2000</v>
      </c>
      <c r="F53" s="210">
        <v>0</v>
      </c>
      <c r="G53" s="210">
        <v>0</v>
      </c>
      <c r="H53" s="210">
        <v>0</v>
      </c>
      <c r="I53" s="210">
        <v>0</v>
      </c>
      <c r="J53" s="210">
        <v>0</v>
      </c>
      <c r="K53" s="210">
        <v>0</v>
      </c>
      <c r="L53" s="211"/>
      <c r="M53" s="212">
        <f t="shared" si="1"/>
        <v>0</v>
      </c>
    </row>
    <row r="54" spans="1:13" ht="12.75" customHeight="1">
      <c r="A54" s="195" t="s">
        <v>1044</v>
      </c>
      <c r="B54" s="195">
        <v>3836.5</v>
      </c>
      <c r="C54" s="195">
        <v>0</v>
      </c>
      <c r="D54" s="210">
        <v>0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1"/>
      <c r="M54" s="212">
        <f t="shared" si="1"/>
        <v>0</v>
      </c>
    </row>
    <row r="55" spans="1:13" ht="12.75" customHeight="1">
      <c r="A55" s="195" t="s">
        <v>1045</v>
      </c>
      <c r="B55" s="195">
        <v>0</v>
      </c>
      <c r="C55" s="195">
        <v>0</v>
      </c>
      <c r="D55" s="210">
        <v>0</v>
      </c>
      <c r="E55" s="210">
        <v>0</v>
      </c>
      <c r="F55" s="210">
        <v>0</v>
      </c>
      <c r="G55" s="210">
        <v>-15000</v>
      </c>
      <c r="H55" s="210">
        <v>0</v>
      </c>
      <c r="I55" s="210">
        <v>0</v>
      </c>
      <c r="J55" s="210">
        <v>1890.85</v>
      </c>
      <c r="K55" s="210">
        <v>0</v>
      </c>
      <c r="L55" s="211"/>
      <c r="M55" s="212">
        <v>0</v>
      </c>
    </row>
    <row r="56" spans="1:13" ht="12.75" customHeight="1">
      <c r="A56" s="195" t="s">
        <v>1046</v>
      </c>
      <c r="B56" s="195">
        <v>0</v>
      </c>
      <c r="C56" s="195">
        <v>0</v>
      </c>
      <c r="D56" s="210">
        <v>0</v>
      </c>
      <c r="E56" s="210">
        <v>0</v>
      </c>
      <c r="F56" s="210">
        <v>0</v>
      </c>
      <c r="G56" s="210">
        <v>0</v>
      </c>
      <c r="H56" s="210">
        <v>0</v>
      </c>
      <c r="I56" s="210">
        <v>0.01</v>
      </c>
      <c r="J56" s="210">
        <v>0</v>
      </c>
      <c r="K56" s="210">
        <v>0</v>
      </c>
      <c r="L56" s="211"/>
      <c r="M56" s="212">
        <f t="shared" si="1"/>
        <v>0.002</v>
      </c>
    </row>
    <row r="57" spans="1:13" ht="12.75" customHeight="1">
      <c r="A57" s="195" t="s">
        <v>1047</v>
      </c>
      <c r="B57" s="195">
        <v>6663.88</v>
      </c>
      <c r="C57" s="195">
        <v>0</v>
      </c>
      <c r="D57" s="210">
        <v>0</v>
      </c>
      <c r="E57" s="210">
        <v>29897.66</v>
      </c>
      <c r="F57" s="210">
        <v>0</v>
      </c>
      <c r="G57" s="210">
        <v>0</v>
      </c>
      <c r="H57" s="210">
        <v>13166.23</v>
      </c>
      <c r="I57" s="210">
        <v>0</v>
      </c>
      <c r="J57" s="210">
        <v>13268.9</v>
      </c>
      <c r="K57" s="210">
        <v>10345.15</v>
      </c>
      <c r="L57" s="211"/>
      <c r="M57" s="212">
        <v>5800</v>
      </c>
    </row>
    <row r="58" spans="1:13" ht="12.75" customHeight="1">
      <c r="A58" s="213" t="s">
        <v>69</v>
      </c>
      <c r="B58" s="213">
        <f aca="true" t="shared" si="2" ref="B58:K58">SUM(B18:B57)</f>
        <v>75094.49</v>
      </c>
      <c r="C58" s="213">
        <f t="shared" si="2"/>
        <v>52889.12</v>
      </c>
      <c r="D58" s="214">
        <f t="shared" si="2"/>
        <v>14164.98</v>
      </c>
      <c r="E58" s="214">
        <f t="shared" si="2"/>
        <v>54203.83</v>
      </c>
      <c r="F58" s="214">
        <f t="shared" si="2"/>
        <v>14275.939999999999</v>
      </c>
      <c r="G58" s="214">
        <f t="shared" si="2"/>
        <v>45120.07</v>
      </c>
      <c r="H58" s="214">
        <f t="shared" si="2"/>
        <v>25395.339999999997</v>
      </c>
      <c r="I58" s="214">
        <f t="shared" si="2"/>
        <v>21313.129999999997</v>
      </c>
      <c r="J58" s="214">
        <f t="shared" si="2"/>
        <v>69645.2</v>
      </c>
      <c r="K58" s="214">
        <f t="shared" si="2"/>
        <v>27370.730000000003</v>
      </c>
      <c r="L58" s="211"/>
      <c r="M58" s="212">
        <f>SUM(M18:M57)</f>
        <v>82858.33399999999</v>
      </c>
    </row>
    <row r="59" spans="4:13" ht="12.75" customHeight="1">
      <c r="D59" s="215"/>
      <c r="E59" s="215"/>
      <c r="F59" s="215"/>
      <c r="G59" s="215"/>
      <c r="H59" s="215"/>
      <c r="I59" s="215"/>
      <c r="J59" s="215"/>
      <c r="K59" s="215"/>
      <c r="L59" s="215"/>
      <c r="M59" s="212"/>
    </row>
    <row r="60" spans="1:13" ht="12.75" customHeight="1" thickBot="1">
      <c r="A60" s="216" t="s">
        <v>1048</v>
      </c>
      <c r="B60" s="216">
        <f aca="true" t="shared" si="3" ref="B60:K60">(0+(B15))-(0+(B58))</f>
        <v>-20294.740000000005</v>
      </c>
      <c r="C60" s="216">
        <f t="shared" si="3"/>
        <v>2005.8199999999997</v>
      </c>
      <c r="D60" s="217">
        <f t="shared" si="3"/>
        <v>24742.3</v>
      </c>
      <c r="E60" s="217">
        <f t="shared" si="3"/>
        <v>-6866.199999999997</v>
      </c>
      <c r="F60" s="217">
        <f t="shared" si="3"/>
        <v>5183.1700000000055</v>
      </c>
      <c r="G60" s="217">
        <f t="shared" si="3"/>
        <v>1424.760000000002</v>
      </c>
      <c r="H60" s="217">
        <f t="shared" si="3"/>
        <v>7381.139999999999</v>
      </c>
      <c r="I60" s="217">
        <f t="shared" si="3"/>
        <v>35647.990000000005</v>
      </c>
      <c r="J60" s="217">
        <f t="shared" si="3"/>
        <v>-12992.379999999997</v>
      </c>
      <c r="K60" s="217">
        <f t="shared" si="3"/>
        <v>21389</v>
      </c>
      <c r="L60" s="211"/>
      <c r="M60" s="212"/>
    </row>
    <row r="61" spans="4:13" ht="12.75" customHeight="1" thickTop="1">
      <c r="D61" s="215"/>
      <c r="E61" s="215"/>
      <c r="F61" s="215"/>
      <c r="G61" s="215"/>
      <c r="H61" s="215"/>
      <c r="I61" s="215"/>
      <c r="J61" s="215"/>
      <c r="K61" s="215"/>
      <c r="L61" s="215"/>
      <c r="M61" s="212"/>
    </row>
    <row r="62" spans="1:13" ht="12.75" customHeight="1">
      <c r="A62" s="209" t="s">
        <v>1049</v>
      </c>
      <c r="D62" s="215"/>
      <c r="E62" s="215"/>
      <c r="F62" s="215"/>
      <c r="G62" s="215"/>
      <c r="H62" s="215"/>
      <c r="I62" s="215"/>
      <c r="J62" s="215"/>
      <c r="K62" s="215"/>
      <c r="L62" s="215"/>
      <c r="M62" s="212"/>
    </row>
    <row r="63" spans="1:13" ht="12.75" customHeight="1">
      <c r="A63" s="195" t="s">
        <v>1050</v>
      </c>
      <c r="B63" s="195">
        <v>-1800</v>
      </c>
      <c r="C63" s="195">
        <v>-1800</v>
      </c>
      <c r="D63" s="210">
        <v>-283.5</v>
      </c>
      <c r="E63" s="210">
        <v>-96</v>
      </c>
      <c r="F63" s="210">
        <v>0</v>
      </c>
      <c r="G63" s="210">
        <v>0</v>
      </c>
      <c r="H63" s="210">
        <v>0</v>
      </c>
      <c r="I63" s="210">
        <v>0</v>
      </c>
      <c r="J63" s="210">
        <v>0</v>
      </c>
      <c r="K63" s="210">
        <v>0</v>
      </c>
      <c r="L63" s="211"/>
      <c r="M63" s="212"/>
    </row>
    <row r="64" spans="1:13" ht="12.75" customHeight="1">
      <c r="A64" s="195" t="s">
        <v>1131</v>
      </c>
      <c r="B64" s="195">
        <v>-603.73</v>
      </c>
      <c r="C64" s="195">
        <v>0</v>
      </c>
      <c r="D64" s="210">
        <v>0</v>
      </c>
      <c r="E64" s="210">
        <v>-8000</v>
      </c>
      <c r="F64" s="210">
        <v>0</v>
      </c>
      <c r="G64" s="210">
        <v>0</v>
      </c>
      <c r="H64" s="210">
        <v>0</v>
      </c>
      <c r="I64" s="210">
        <v>0</v>
      </c>
      <c r="J64" s="210">
        <v>0</v>
      </c>
      <c r="K64" s="210">
        <v>0</v>
      </c>
      <c r="L64" s="211"/>
      <c r="M64" s="212"/>
    </row>
    <row r="65" spans="1:13" ht="12.75" customHeight="1">
      <c r="A65" s="195" t="s">
        <v>1132</v>
      </c>
      <c r="B65" s="195">
        <v>-1171.67</v>
      </c>
      <c r="C65" s="195">
        <v>-781.03</v>
      </c>
      <c r="D65" s="210">
        <v>-7021.2</v>
      </c>
      <c r="E65" s="210">
        <v>-5501.29</v>
      </c>
      <c r="F65" s="210">
        <v>-3254.25</v>
      </c>
      <c r="G65" s="210">
        <v>-3230.07</v>
      </c>
      <c r="H65" s="210">
        <v>-2287.86</v>
      </c>
      <c r="I65" s="210">
        <v>-2206.33</v>
      </c>
      <c r="J65" s="210">
        <v>-1068.31</v>
      </c>
      <c r="K65" s="210">
        <v>-1849.22</v>
      </c>
      <c r="L65" s="211"/>
      <c r="M65" s="212"/>
    </row>
    <row r="66" spans="1:13" ht="12.75" customHeight="1">
      <c r="A66" s="195" t="s">
        <v>1137</v>
      </c>
      <c r="B66" s="195">
        <v>0</v>
      </c>
      <c r="C66" s="195">
        <v>0</v>
      </c>
      <c r="D66" s="210">
        <v>-500</v>
      </c>
      <c r="E66" s="210">
        <v>500</v>
      </c>
      <c r="F66" s="210">
        <v>0</v>
      </c>
      <c r="G66" s="210">
        <v>0</v>
      </c>
      <c r="H66" s="210">
        <v>-535.7</v>
      </c>
      <c r="I66" s="210">
        <v>0</v>
      </c>
      <c r="J66" s="210">
        <v>0</v>
      </c>
      <c r="K66" s="210">
        <v>0</v>
      </c>
      <c r="L66" s="211"/>
      <c r="M66" s="212"/>
    </row>
    <row r="67" spans="1:13" ht="12.75" customHeight="1">
      <c r="A67" s="213" t="s">
        <v>1051</v>
      </c>
      <c r="B67" s="213">
        <f aca="true" t="shared" si="4" ref="B67:K67">SUM(B63:B66)</f>
        <v>-3575.4</v>
      </c>
      <c r="C67" s="213">
        <f t="shared" si="4"/>
        <v>-2581.0299999999997</v>
      </c>
      <c r="D67" s="214">
        <f t="shared" si="4"/>
        <v>-7804.7</v>
      </c>
      <c r="E67" s="214">
        <f t="shared" si="4"/>
        <v>-13097.29</v>
      </c>
      <c r="F67" s="214">
        <f t="shared" si="4"/>
        <v>-3254.25</v>
      </c>
      <c r="G67" s="214">
        <f t="shared" si="4"/>
        <v>-3230.07</v>
      </c>
      <c r="H67" s="214">
        <f t="shared" si="4"/>
        <v>-2823.5600000000004</v>
      </c>
      <c r="I67" s="214">
        <f t="shared" si="4"/>
        <v>-2206.33</v>
      </c>
      <c r="J67" s="214">
        <f t="shared" si="4"/>
        <v>-1068.31</v>
      </c>
      <c r="K67" s="214">
        <f t="shared" si="4"/>
        <v>-1849.22</v>
      </c>
      <c r="L67" s="211"/>
      <c r="M67" s="212"/>
    </row>
    <row r="68" spans="4:13" ht="12.75" customHeight="1">
      <c r="D68" s="215"/>
      <c r="E68" s="215"/>
      <c r="F68" s="215"/>
      <c r="G68" s="215"/>
      <c r="H68" s="215"/>
      <c r="I68" s="215"/>
      <c r="J68" s="215"/>
      <c r="K68" s="215"/>
      <c r="L68" s="215"/>
      <c r="M68" s="212"/>
    </row>
    <row r="69" spans="1:13" ht="12.75" customHeight="1">
      <c r="A69" s="195"/>
      <c r="B69" s="195"/>
      <c r="C69" s="195"/>
      <c r="D69" s="210"/>
      <c r="E69" s="210"/>
      <c r="F69" s="210"/>
      <c r="G69" s="210"/>
      <c r="H69" s="210"/>
      <c r="I69" s="210"/>
      <c r="J69" s="210"/>
      <c r="K69" s="210"/>
      <c r="L69" s="211"/>
      <c r="M69" s="212"/>
    </row>
    <row r="70" spans="1:13" ht="12.75" customHeight="1" thickBot="1">
      <c r="A70" s="216" t="s">
        <v>1052</v>
      </c>
      <c r="B70" s="216">
        <f aca="true" t="shared" si="5" ref="B70:K70">(0+(B60)+(B67)+(0))-(0)</f>
        <v>-23870.140000000007</v>
      </c>
      <c r="C70" s="216">
        <f t="shared" si="5"/>
        <v>-575.21</v>
      </c>
      <c r="D70" s="217">
        <f t="shared" si="5"/>
        <v>16937.6</v>
      </c>
      <c r="E70" s="217">
        <f t="shared" si="5"/>
        <v>-19963.489999999998</v>
      </c>
      <c r="F70" s="217">
        <f t="shared" si="5"/>
        <v>1928.9200000000055</v>
      </c>
      <c r="G70" s="217">
        <f t="shared" si="5"/>
        <v>-1805.3099999999981</v>
      </c>
      <c r="H70" s="217">
        <f t="shared" si="5"/>
        <v>4557.579999999999</v>
      </c>
      <c r="I70" s="217">
        <f t="shared" si="5"/>
        <v>33441.66</v>
      </c>
      <c r="J70" s="217">
        <f t="shared" si="5"/>
        <v>-14060.689999999997</v>
      </c>
      <c r="K70" s="217">
        <f t="shared" si="5"/>
        <v>19539.78</v>
      </c>
      <c r="L70" s="211"/>
      <c r="M70" s="212"/>
    </row>
    <row r="71" spans="4:13" ht="12.75" customHeight="1" thickTop="1">
      <c r="D71" s="215"/>
      <c r="E71" s="215"/>
      <c r="F71" s="215"/>
      <c r="G71" s="215"/>
      <c r="H71" s="215"/>
      <c r="I71" s="215"/>
      <c r="J71" s="215"/>
      <c r="K71" s="215"/>
      <c r="L71" s="215"/>
      <c r="M71" s="212"/>
    </row>
    <row r="72" spans="1:13" ht="12.75" customHeight="1">
      <c r="A72" s="209" t="s">
        <v>1053</v>
      </c>
      <c r="D72" s="215"/>
      <c r="E72" s="215"/>
      <c r="F72" s="215"/>
      <c r="G72" s="215"/>
      <c r="H72" s="215"/>
      <c r="I72" s="215"/>
      <c r="J72" s="215"/>
      <c r="K72" s="215"/>
      <c r="L72" s="215"/>
      <c r="M72" s="212"/>
    </row>
    <row r="73" spans="1:13" ht="12.75" customHeight="1">
      <c r="A73" s="195" t="s">
        <v>1054</v>
      </c>
      <c r="B73" s="195">
        <v>36720.53</v>
      </c>
      <c r="C73" s="195">
        <v>12850.39</v>
      </c>
      <c r="D73" s="210">
        <v>12275.18</v>
      </c>
      <c r="E73" s="210">
        <v>29212.78</v>
      </c>
      <c r="F73" s="210">
        <v>17901.82</v>
      </c>
      <c r="G73" s="210">
        <v>19830.74</v>
      </c>
      <c r="H73" s="210">
        <v>18025.43</v>
      </c>
      <c r="I73" s="210">
        <v>22583.01</v>
      </c>
      <c r="J73" s="210">
        <v>56024.67</v>
      </c>
      <c r="K73" s="210">
        <v>41963.98</v>
      </c>
      <c r="L73" s="211"/>
      <c r="M73" s="212"/>
    </row>
    <row r="74" spans="1:13" ht="12.75" customHeight="1">
      <c r="A74" s="195" t="s">
        <v>1055</v>
      </c>
      <c r="B74" s="195">
        <f aca="true" t="shared" si="6" ref="B74:K74">B70</f>
        <v>-23870.140000000007</v>
      </c>
      <c r="C74" s="195">
        <f t="shared" si="6"/>
        <v>-575.21</v>
      </c>
      <c r="D74" s="210">
        <f t="shared" si="6"/>
        <v>16937.6</v>
      </c>
      <c r="E74" s="210">
        <f t="shared" si="6"/>
        <v>-19963.489999999998</v>
      </c>
      <c r="F74" s="210">
        <f t="shared" si="6"/>
        <v>1928.9200000000055</v>
      </c>
      <c r="G74" s="210">
        <f t="shared" si="6"/>
        <v>-1805.3099999999981</v>
      </c>
      <c r="H74" s="210">
        <f t="shared" si="6"/>
        <v>4557.579999999999</v>
      </c>
      <c r="I74" s="210">
        <f t="shared" si="6"/>
        <v>33441.66</v>
      </c>
      <c r="J74" s="210">
        <f t="shared" si="6"/>
        <v>-14060.689999999997</v>
      </c>
      <c r="K74" s="210">
        <f t="shared" si="6"/>
        <v>19539.78</v>
      </c>
      <c r="L74" s="211"/>
      <c r="M74" s="212"/>
    </row>
    <row r="75" spans="1:13" ht="12.75" customHeight="1">
      <c r="A75" s="195" t="s">
        <v>1056</v>
      </c>
      <c r="B75" s="195">
        <f aca="true" t="shared" si="7" ref="B75:K75">B73+B74</f>
        <v>12850.389999999992</v>
      </c>
      <c r="C75" s="195">
        <f t="shared" si="7"/>
        <v>12275.18</v>
      </c>
      <c r="D75" s="210">
        <f t="shared" si="7"/>
        <v>29212.78</v>
      </c>
      <c r="E75" s="210">
        <f t="shared" si="7"/>
        <v>9249.29</v>
      </c>
      <c r="F75" s="210">
        <f t="shared" si="7"/>
        <v>19830.740000000005</v>
      </c>
      <c r="G75" s="210">
        <f t="shared" si="7"/>
        <v>18025.430000000004</v>
      </c>
      <c r="H75" s="210">
        <f t="shared" si="7"/>
        <v>22583.01</v>
      </c>
      <c r="I75" s="210">
        <f t="shared" si="7"/>
        <v>56024.67</v>
      </c>
      <c r="J75" s="210">
        <f t="shared" si="7"/>
        <v>41963.98</v>
      </c>
      <c r="K75" s="210">
        <f t="shared" si="7"/>
        <v>61503.76</v>
      </c>
      <c r="L75" s="211"/>
      <c r="M75" s="212"/>
    </row>
    <row r="76" spans="4:13" ht="12.75">
      <c r="D76" s="215"/>
      <c r="E76" s="215"/>
      <c r="F76" s="215"/>
      <c r="G76" s="215"/>
      <c r="H76" s="215"/>
      <c r="I76" s="215"/>
      <c r="J76" s="215"/>
      <c r="K76" s="215"/>
      <c r="L76" s="215"/>
      <c r="M76" s="212"/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r:id="rId1"/>
  <ignoredErrors>
    <ignoredError sqref="M19 M56 M39 M22 M24:M25 M27 M29 M33 M42:M46 M48:M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pane xSplit="1" ySplit="7" topLeftCell="I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8" sqref="A28"/>
    </sheetView>
  </sheetViews>
  <sheetFormatPr defaultColWidth="8.8515625" defaultRowHeight="12.75" customHeight="1"/>
  <cols>
    <col min="1" max="1" width="44.57421875" style="182" bestFit="1" customWidth="1"/>
    <col min="2" max="5" width="11.00390625" style="182" bestFit="1" customWidth="1"/>
    <col min="6" max="7" width="11.57421875" style="182" bestFit="1" customWidth="1"/>
    <col min="8" max="10" width="11.00390625" style="182" bestFit="1" customWidth="1"/>
    <col min="11" max="11" width="11.57421875" style="182" bestFit="1" customWidth="1"/>
    <col min="12" max="12" width="11.00390625" style="219" bestFit="1" customWidth="1"/>
    <col min="13" max="13" width="11.57421875" style="219" bestFit="1" customWidth="1"/>
    <col min="14" max="14" width="11.00390625" style="219" bestFit="1" customWidth="1"/>
    <col min="15" max="15" width="11.57421875" style="219" bestFit="1" customWidth="1"/>
    <col min="16" max="16" width="11.57421875" style="206" bestFit="1" customWidth="1"/>
    <col min="17" max="17" width="12.00390625" style="182" bestFit="1" customWidth="1"/>
    <col min="18" max="16384" width="8.8515625" style="182" customWidth="1"/>
  </cols>
  <sheetData>
    <row r="1" spans="1:17" ht="12.75" customHeight="1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7" ht="12.75" customHeight="1">
      <c r="A2" s="322" t="s">
        <v>1104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</row>
    <row r="3" spans="1:17" ht="12.75" customHeight="1">
      <c r="A3" s="322" t="s">
        <v>1034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</row>
    <row r="5" spans="1:17" ht="12.75" customHeight="1">
      <c r="A5" s="208"/>
      <c r="B5" s="297" t="s">
        <v>2</v>
      </c>
      <c r="C5" s="297" t="s">
        <v>3</v>
      </c>
      <c r="D5" s="297" t="s">
        <v>4</v>
      </c>
      <c r="E5" s="297" t="s">
        <v>5</v>
      </c>
      <c r="F5" s="297" t="s">
        <v>6</v>
      </c>
      <c r="G5" s="297" t="s">
        <v>7</v>
      </c>
      <c r="H5" s="297" t="s">
        <v>8</v>
      </c>
      <c r="I5" s="297" t="s">
        <v>9</v>
      </c>
      <c r="J5" s="297" t="s">
        <v>10</v>
      </c>
      <c r="K5" s="297" t="s">
        <v>11</v>
      </c>
      <c r="L5" s="300">
        <v>42794</v>
      </c>
      <c r="M5" s="300">
        <v>42825</v>
      </c>
      <c r="N5" s="300">
        <v>42855</v>
      </c>
      <c r="O5" s="300">
        <v>42886</v>
      </c>
      <c r="P5" s="301">
        <v>42916</v>
      </c>
      <c r="Q5" s="297" t="s">
        <v>12</v>
      </c>
    </row>
    <row r="6" spans="1:17" ht="12.75" customHeight="1">
      <c r="A6" s="208"/>
      <c r="B6" s="208" t="s">
        <v>13</v>
      </c>
      <c r="C6" s="208" t="s">
        <v>13</v>
      </c>
      <c r="D6" s="208" t="s">
        <v>13</v>
      </c>
      <c r="E6" s="208" t="s">
        <v>13</v>
      </c>
      <c r="F6" s="208" t="s">
        <v>13</v>
      </c>
      <c r="G6" s="208" t="s">
        <v>13</v>
      </c>
      <c r="H6" s="208" t="s">
        <v>13</v>
      </c>
      <c r="I6" s="208" t="s">
        <v>13</v>
      </c>
      <c r="J6" s="208" t="s">
        <v>13</v>
      </c>
      <c r="K6" s="208" t="s">
        <v>13</v>
      </c>
      <c r="L6" s="208" t="s">
        <v>13</v>
      </c>
      <c r="M6" s="208" t="s">
        <v>13</v>
      </c>
      <c r="N6" s="208" t="s">
        <v>13</v>
      </c>
      <c r="O6" s="208" t="s">
        <v>13</v>
      </c>
      <c r="P6" s="220" t="s">
        <v>119</v>
      </c>
      <c r="Q6" s="208"/>
    </row>
    <row r="7" spans="12:16" ht="12.75" customHeight="1">
      <c r="L7" s="221"/>
      <c r="M7" s="221"/>
      <c r="N7" s="221"/>
      <c r="O7" s="221"/>
      <c r="P7" s="222"/>
    </row>
    <row r="8" ht="12.75" customHeight="1">
      <c r="A8" s="209" t="s">
        <v>14</v>
      </c>
    </row>
    <row r="9" spans="1:17" ht="12.75" customHeight="1">
      <c r="A9" s="223" t="s">
        <v>15</v>
      </c>
      <c r="B9" s="210">
        <v>0</v>
      </c>
      <c r="C9" s="210">
        <v>0</v>
      </c>
      <c r="D9" s="210">
        <v>33.25</v>
      </c>
      <c r="E9" s="210">
        <v>132.58</v>
      </c>
      <c r="F9" s="210">
        <v>484.69</v>
      </c>
      <c r="G9" s="210">
        <v>344.7</v>
      </c>
      <c r="H9" s="210">
        <v>368.66</v>
      </c>
      <c r="I9" s="210">
        <v>364.31</v>
      </c>
      <c r="J9" s="210">
        <v>239.1</v>
      </c>
      <c r="K9" s="210">
        <v>228.82</v>
      </c>
      <c r="L9" s="210">
        <v>392.15</v>
      </c>
      <c r="M9" s="210">
        <v>348.52</v>
      </c>
      <c r="N9" s="210">
        <v>288.54</v>
      </c>
      <c r="O9" s="210">
        <v>395.53</v>
      </c>
      <c r="P9" s="224">
        <f>P10*Assumptions!$C$23</f>
        <v>335.1129775835244</v>
      </c>
      <c r="Q9" s="210">
        <f>SUM(B9:O9)</f>
        <v>3620.8500000000004</v>
      </c>
    </row>
    <row r="10" spans="1:17" ht="12.75" customHeight="1">
      <c r="A10" s="225" t="s">
        <v>16</v>
      </c>
      <c r="B10" s="210">
        <v>34684.91</v>
      </c>
      <c r="C10" s="210">
        <v>35635.78</v>
      </c>
      <c r="D10" s="210">
        <v>42056.98</v>
      </c>
      <c r="E10" s="210">
        <v>39279.66</v>
      </c>
      <c r="F10" s="210">
        <v>42147.29</v>
      </c>
      <c r="G10" s="210">
        <v>33169.26</v>
      </c>
      <c r="H10" s="210">
        <v>41779.97</v>
      </c>
      <c r="I10" s="210">
        <v>36063.11</v>
      </c>
      <c r="J10" s="210">
        <v>24547.63</v>
      </c>
      <c r="K10" s="210">
        <v>20030.36</v>
      </c>
      <c r="L10" s="210">
        <v>53728.92</v>
      </c>
      <c r="M10" s="210">
        <v>30022.91</v>
      </c>
      <c r="N10" s="210">
        <v>38810.07</v>
      </c>
      <c r="O10" s="210">
        <v>45402.86</v>
      </c>
      <c r="P10" s="224">
        <f>+'June Sales Projection-Working'!T30</f>
        <v>33511.29775835244</v>
      </c>
      <c r="Q10" s="210">
        <f>SUM(B10:O10)</f>
        <v>517359.70999999996</v>
      </c>
    </row>
    <row r="11" spans="1:17" ht="12.75" customHeight="1">
      <c r="A11" s="226" t="s">
        <v>17</v>
      </c>
      <c r="B11" s="210">
        <v>0</v>
      </c>
      <c r="C11" s="210">
        <v>0</v>
      </c>
      <c r="D11" s="210">
        <v>0</v>
      </c>
      <c r="E11" s="210">
        <v>600.12</v>
      </c>
      <c r="F11" s="210">
        <v>816.69</v>
      </c>
      <c r="G11" s="210">
        <v>79.17</v>
      </c>
      <c r="H11" s="210">
        <v>0</v>
      </c>
      <c r="I11" s="210">
        <v>0</v>
      </c>
      <c r="J11" s="210">
        <v>0</v>
      </c>
      <c r="K11" s="210">
        <v>0</v>
      </c>
      <c r="L11" s="210">
        <v>0</v>
      </c>
      <c r="M11" s="210">
        <v>154.27</v>
      </c>
      <c r="N11" s="210">
        <v>0</v>
      </c>
      <c r="O11" s="210">
        <v>0</v>
      </c>
      <c r="P11" s="227">
        <v>0</v>
      </c>
      <c r="Q11" s="210">
        <f>SUM(B11:O11)</f>
        <v>1650.25</v>
      </c>
    </row>
    <row r="12" spans="1:17" ht="12.75" customHeight="1">
      <c r="A12" s="213" t="s">
        <v>18</v>
      </c>
      <c r="B12" s="214">
        <f aca="true" t="shared" si="0" ref="B12:K12">SUM(B9:B11)</f>
        <v>34684.91</v>
      </c>
      <c r="C12" s="214">
        <f t="shared" si="0"/>
        <v>35635.78</v>
      </c>
      <c r="D12" s="214">
        <f t="shared" si="0"/>
        <v>42090.23</v>
      </c>
      <c r="E12" s="214">
        <f t="shared" si="0"/>
        <v>40012.36000000001</v>
      </c>
      <c r="F12" s="214">
        <f t="shared" si="0"/>
        <v>43448.670000000006</v>
      </c>
      <c r="G12" s="214">
        <f t="shared" si="0"/>
        <v>33593.13</v>
      </c>
      <c r="H12" s="214">
        <f t="shared" si="0"/>
        <v>42148.630000000005</v>
      </c>
      <c r="I12" s="214">
        <f t="shared" si="0"/>
        <v>36427.42</v>
      </c>
      <c r="J12" s="214">
        <f t="shared" si="0"/>
        <v>24786.73</v>
      </c>
      <c r="K12" s="214">
        <f t="shared" si="0"/>
        <v>20259.18</v>
      </c>
      <c r="L12" s="214">
        <f>SUM(L9:L11)</f>
        <v>54121.07</v>
      </c>
      <c r="M12" s="214">
        <f>SUM(M9:M11)</f>
        <v>30525.7</v>
      </c>
      <c r="N12" s="214">
        <f>SUM(N9:N11)</f>
        <v>39098.61</v>
      </c>
      <c r="O12" s="214">
        <f>SUM(O9:O11)</f>
        <v>45798.39</v>
      </c>
      <c r="P12" s="228">
        <f>SUM(P9:P11)</f>
        <v>33846.41073593596</v>
      </c>
      <c r="Q12" s="214">
        <f>SUM(B12:O12)</f>
        <v>522630.81000000006</v>
      </c>
    </row>
    <row r="13" spans="2:17" ht="12.75" customHeight="1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29"/>
      <c r="O13" s="229"/>
      <c r="P13" s="212"/>
      <c r="Q13" s="215"/>
    </row>
    <row r="14" spans="1:17" ht="12.75" customHeight="1">
      <c r="A14" s="209" t="s">
        <v>19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29"/>
      <c r="O14" s="229"/>
      <c r="P14" s="212"/>
      <c r="Q14" s="215"/>
    </row>
    <row r="15" spans="1:17" ht="12.75" customHeight="1">
      <c r="A15" s="230" t="s">
        <v>20</v>
      </c>
      <c r="B15" s="210">
        <v>0</v>
      </c>
      <c r="C15" s="210">
        <v>0</v>
      </c>
      <c r="D15" s="210">
        <v>600</v>
      </c>
      <c r="E15" s="210">
        <v>1250</v>
      </c>
      <c r="F15" s="210">
        <v>500</v>
      </c>
      <c r="G15" s="210">
        <v>1500</v>
      </c>
      <c r="H15" s="210">
        <v>0</v>
      </c>
      <c r="I15" s="210">
        <v>1500</v>
      </c>
      <c r="J15" s="210">
        <v>1500</v>
      </c>
      <c r="K15" s="210">
        <v>1500</v>
      </c>
      <c r="L15" s="210">
        <v>1500</v>
      </c>
      <c r="M15" s="210">
        <v>1500</v>
      </c>
      <c r="N15" s="210">
        <v>1500</v>
      </c>
      <c r="O15" s="210">
        <v>1500</v>
      </c>
      <c r="P15" s="224">
        <f>+_xlfn.AVERAGEIF(H15:O15,"&gt;=1000")</f>
        <v>1500</v>
      </c>
      <c r="Q15" s="210">
        <f aca="true" t="shared" si="1" ref="Q15:Q22">SUM(B15:O15)</f>
        <v>14350</v>
      </c>
    </row>
    <row r="16" spans="1:17" ht="12.75" customHeight="1">
      <c r="A16" s="223" t="s">
        <v>21</v>
      </c>
      <c r="B16" s="210">
        <v>470.75</v>
      </c>
      <c r="C16" s="210">
        <v>1889.6</v>
      </c>
      <c r="D16" s="210">
        <v>736.23</v>
      </c>
      <c r="E16" s="210">
        <v>2461.85</v>
      </c>
      <c r="F16" s="210">
        <v>996.51</v>
      </c>
      <c r="G16" s="210">
        <v>917.07</v>
      </c>
      <c r="H16" s="210">
        <v>2744.68</v>
      </c>
      <c r="I16" s="210">
        <v>1090.52</v>
      </c>
      <c r="J16" s="210">
        <v>1271.06</v>
      </c>
      <c r="K16" s="210">
        <v>1666.48</v>
      </c>
      <c r="L16" s="210">
        <v>2433.31</v>
      </c>
      <c r="M16" s="210">
        <v>2216.07</v>
      </c>
      <c r="N16" s="210">
        <v>1725.55</v>
      </c>
      <c r="O16" s="210">
        <v>1939.25</v>
      </c>
      <c r="P16" s="224">
        <f>+_xlfn.AVERAGEIF(H16:O16,"&gt;=1000")+1000</f>
        <v>2885.865</v>
      </c>
      <c r="Q16" s="210">
        <f t="shared" si="1"/>
        <v>22558.93</v>
      </c>
    </row>
    <row r="17" spans="1:17" ht="12.75" customHeight="1">
      <c r="A17" s="223" t="s">
        <v>22</v>
      </c>
      <c r="B17" s="210">
        <v>712.46</v>
      </c>
      <c r="C17" s="210">
        <v>811.18</v>
      </c>
      <c r="D17" s="210">
        <v>873.5</v>
      </c>
      <c r="E17" s="210">
        <v>826.04</v>
      </c>
      <c r="F17" s="210">
        <v>731.69</v>
      </c>
      <c r="G17" s="210">
        <v>556.34</v>
      </c>
      <c r="H17" s="210">
        <v>930.83</v>
      </c>
      <c r="I17" s="210">
        <v>752.5</v>
      </c>
      <c r="J17" s="210">
        <v>500.83</v>
      </c>
      <c r="K17" s="210">
        <v>0</v>
      </c>
      <c r="L17" s="210">
        <v>0</v>
      </c>
      <c r="M17" s="210">
        <v>0</v>
      </c>
      <c r="N17" s="210">
        <v>0</v>
      </c>
      <c r="O17" s="210">
        <v>0</v>
      </c>
      <c r="P17" s="224">
        <f>+AVERAGE(L17:O17)</f>
        <v>0</v>
      </c>
      <c r="Q17" s="210">
        <f t="shared" si="1"/>
        <v>6695.37</v>
      </c>
    </row>
    <row r="18" spans="1:17" ht="12.75" customHeight="1">
      <c r="A18" s="226" t="s">
        <v>23</v>
      </c>
      <c r="B18" s="210">
        <v>30</v>
      </c>
      <c r="C18" s="210">
        <v>0</v>
      </c>
      <c r="D18" s="210">
        <v>0</v>
      </c>
      <c r="E18" s="210">
        <v>0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210">
        <v>0</v>
      </c>
      <c r="M18" s="210">
        <v>1172.08</v>
      </c>
      <c r="N18" s="210">
        <v>0</v>
      </c>
      <c r="O18" s="210">
        <v>0</v>
      </c>
      <c r="P18" s="224">
        <v>0</v>
      </c>
      <c r="Q18" s="210">
        <f t="shared" si="1"/>
        <v>1202.08</v>
      </c>
    </row>
    <row r="19" spans="1:17" ht="12.75" customHeight="1">
      <c r="A19" s="230" t="s">
        <v>24</v>
      </c>
      <c r="B19" s="210">
        <v>58.38</v>
      </c>
      <c r="C19" s="210">
        <v>424.48</v>
      </c>
      <c r="D19" s="210">
        <v>15761.19</v>
      </c>
      <c r="E19" s="210">
        <v>119.3</v>
      </c>
      <c r="F19" s="210">
        <v>47226.66</v>
      </c>
      <c r="G19" s="210">
        <v>36166.89</v>
      </c>
      <c r="H19" s="210">
        <v>155.9</v>
      </c>
      <c r="I19" s="210">
        <v>598.73</v>
      </c>
      <c r="J19" s="210">
        <v>188.46</v>
      </c>
      <c r="K19" s="210">
        <v>45271.43</v>
      </c>
      <c r="L19" s="210">
        <v>0</v>
      </c>
      <c r="M19" s="210">
        <v>39803.51</v>
      </c>
      <c r="N19" s="210">
        <v>1066</v>
      </c>
      <c r="O19" s="210">
        <v>60000</v>
      </c>
      <c r="P19" s="224">
        <v>18600</v>
      </c>
      <c r="Q19" s="210">
        <f t="shared" si="1"/>
        <v>246840.93</v>
      </c>
    </row>
    <row r="20" spans="1:17" ht="12.75" customHeight="1">
      <c r="A20" s="231" t="s">
        <v>25</v>
      </c>
      <c r="B20" s="210">
        <v>178.26</v>
      </c>
      <c r="C20" s="210">
        <v>0</v>
      </c>
      <c r="D20" s="210">
        <v>0</v>
      </c>
      <c r="E20" s="210">
        <v>0</v>
      </c>
      <c r="F20" s="210">
        <v>123.84</v>
      </c>
      <c r="G20" s="210">
        <v>0</v>
      </c>
      <c r="H20" s="210">
        <v>0</v>
      </c>
      <c r="I20" s="210">
        <v>0</v>
      </c>
      <c r="J20" s="210">
        <v>178.26</v>
      </c>
      <c r="K20" s="210">
        <v>0</v>
      </c>
      <c r="L20" s="210">
        <v>0</v>
      </c>
      <c r="M20" s="210">
        <v>0</v>
      </c>
      <c r="N20" s="210">
        <v>196.4</v>
      </c>
      <c r="O20" s="210">
        <v>0</v>
      </c>
      <c r="P20" s="224">
        <v>0</v>
      </c>
      <c r="Q20" s="210">
        <f t="shared" si="1"/>
        <v>676.76</v>
      </c>
    </row>
    <row r="21" spans="1:17" ht="12.75" customHeight="1">
      <c r="A21" s="230" t="s">
        <v>26</v>
      </c>
      <c r="B21" s="210">
        <v>0</v>
      </c>
      <c r="C21" s="210">
        <v>250</v>
      </c>
      <c r="D21" s="210">
        <v>0</v>
      </c>
      <c r="E21" s="210">
        <v>0</v>
      </c>
      <c r="F21" s="210">
        <v>0</v>
      </c>
      <c r="G21" s="210">
        <v>1500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24">
        <v>0</v>
      </c>
      <c r="Q21" s="210">
        <f t="shared" si="1"/>
        <v>1750</v>
      </c>
    </row>
    <row r="22" spans="1:17" ht="12.75" customHeight="1">
      <c r="A22" s="213" t="s">
        <v>27</v>
      </c>
      <c r="B22" s="214">
        <f aca="true" t="shared" si="2" ref="B22:K22">SUM(B15:B21)</f>
        <v>1449.8500000000001</v>
      </c>
      <c r="C22" s="214">
        <f t="shared" si="2"/>
        <v>3375.2599999999998</v>
      </c>
      <c r="D22" s="214">
        <f t="shared" si="2"/>
        <v>17970.920000000002</v>
      </c>
      <c r="E22" s="214">
        <f t="shared" si="2"/>
        <v>4657.19</v>
      </c>
      <c r="F22" s="214">
        <f t="shared" si="2"/>
        <v>49578.7</v>
      </c>
      <c r="G22" s="214">
        <f t="shared" si="2"/>
        <v>40640.3</v>
      </c>
      <c r="H22" s="214">
        <f t="shared" si="2"/>
        <v>3831.41</v>
      </c>
      <c r="I22" s="214">
        <f t="shared" si="2"/>
        <v>3941.75</v>
      </c>
      <c r="J22" s="214">
        <f t="shared" si="2"/>
        <v>3638.6099999999997</v>
      </c>
      <c r="K22" s="214">
        <f t="shared" si="2"/>
        <v>48437.91</v>
      </c>
      <c r="L22" s="214">
        <f>SUM(L15:L21)</f>
        <v>3933.31</v>
      </c>
      <c r="M22" s="214">
        <f>SUM(M15:M21)</f>
        <v>44691.66</v>
      </c>
      <c r="N22" s="214">
        <f>SUM(N15:N21)</f>
        <v>4487.95</v>
      </c>
      <c r="O22" s="214">
        <f>SUM(O15:O21)</f>
        <v>63439.25</v>
      </c>
      <c r="P22" s="228">
        <f>SUM(P15:P21)</f>
        <v>22985.864999999998</v>
      </c>
      <c r="Q22" s="214">
        <f t="shared" si="1"/>
        <v>294074.07000000007</v>
      </c>
    </row>
    <row r="23" spans="2:17" ht="12.75" customHeight="1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29"/>
      <c r="O23" s="229"/>
      <c r="P23" s="212"/>
      <c r="Q23" s="215"/>
    </row>
    <row r="24" spans="1:17" ht="12.75" customHeight="1" thickBot="1">
      <c r="A24" s="216" t="s">
        <v>28</v>
      </c>
      <c r="B24" s="217">
        <f aca="true" t="shared" si="3" ref="B24:K24">(B12)-(B22)</f>
        <v>33235.060000000005</v>
      </c>
      <c r="C24" s="217">
        <f t="shared" si="3"/>
        <v>32260.52</v>
      </c>
      <c r="D24" s="217">
        <f t="shared" si="3"/>
        <v>24119.31</v>
      </c>
      <c r="E24" s="217">
        <f t="shared" si="3"/>
        <v>35355.170000000006</v>
      </c>
      <c r="F24" s="217">
        <f t="shared" si="3"/>
        <v>-6130.029999999992</v>
      </c>
      <c r="G24" s="217">
        <f t="shared" si="3"/>
        <v>-7047.1700000000055</v>
      </c>
      <c r="H24" s="217">
        <f t="shared" si="3"/>
        <v>38317.22</v>
      </c>
      <c r="I24" s="217">
        <f t="shared" si="3"/>
        <v>32485.67</v>
      </c>
      <c r="J24" s="217">
        <f t="shared" si="3"/>
        <v>21148.12</v>
      </c>
      <c r="K24" s="217">
        <f t="shared" si="3"/>
        <v>-28178.730000000003</v>
      </c>
      <c r="L24" s="217">
        <f>(L12)-(L22)</f>
        <v>50187.76</v>
      </c>
      <c r="M24" s="217">
        <f>(M12)-(M22)</f>
        <v>-14165.960000000003</v>
      </c>
      <c r="N24" s="217">
        <f>(N12)-(N22)</f>
        <v>34610.66</v>
      </c>
      <c r="O24" s="217">
        <f>(O12)-(O22)</f>
        <v>-17640.86</v>
      </c>
      <c r="P24" s="232">
        <f>(P12)-(P22)</f>
        <v>10860.545735935964</v>
      </c>
      <c r="Q24" s="217">
        <f>SUM(B24:O24)</f>
        <v>228556.74</v>
      </c>
    </row>
    <row r="25" spans="2:17" s="219" customFormat="1" ht="12.75" customHeight="1" thickTop="1"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15"/>
      <c r="M25" s="215"/>
      <c r="N25" s="229"/>
      <c r="O25" s="229"/>
      <c r="P25" s="212"/>
      <c r="Q25" s="229"/>
    </row>
    <row r="26" spans="1:17" ht="12.75" customHeight="1">
      <c r="A26" s="209" t="s">
        <v>29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0"/>
      <c r="M26" s="210"/>
      <c r="N26" s="229"/>
      <c r="O26" s="229"/>
      <c r="P26" s="212"/>
      <c r="Q26" s="215"/>
    </row>
    <row r="27" spans="1:17" ht="12.75" customHeight="1">
      <c r="A27" s="226" t="s">
        <v>30</v>
      </c>
      <c r="B27" s="210">
        <v>0</v>
      </c>
      <c r="C27" s="210">
        <v>450</v>
      </c>
      <c r="D27" s="210">
        <v>0</v>
      </c>
      <c r="E27" s="210">
        <v>0</v>
      </c>
      <c r="F27" s="210">
        <v>0</v>
      </c>
      <c r="G27" s="210">
        <v>0</v>
      </c>
      <c r="H27" s="210">
        <v>0</v>
      </c>
      <c r="I27" s="210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0">
        <v>0</v>
      </c>
      <c r="P27" s="224">
        <v>0</v>
      </c>
      <c r="Q27" s="210">
        <f>SUM(B27:O27)</f>
        <v>450</v>
      </c>
    </row>
    <row r="28" spans="1:17" ht="12.75" customHeight="1">
      <c r="A28" s="231" t="s">
        <v>31</v>
      </c>
      <c r="B28" s="210">
        <v>0</v>
      </c>
      <c r="C28" s="210">
        <v>0</v>
      </c>
      <c r="D28" s="210">
        <v>0</v>
      </c>
      <c r="E28" s="210">
        <v>0</v>
      </c>
      <c r="F28" s="210">
        <v>0</v>
      </c>
      <c r="G28" s="210">
        <v>233.4</v>
      </c>
      <c r="H28" s="210">
        <v>0</v>
      </c>
      <c r="I28" s="210">
        <v>233.37</v>
      </c>
      <c r="J28" s="210">
        <v>0</v>
      </c>
      <c r="K28" s="210">
        <v>300</v>
      </c>
      <c r="L28" s="210">
        <v>0</v>
      </c>
      <c r="M28" s="210">
        <v>0</v>
      </c>
      <c r="N28" s="210">
        <v>0</v>
      </c>
      <c r="O28" s="210">
        <v>0</v>
      </c>
      <c r="P28" s="224">
        <v>0</v>
      </c>
      <c r="Q28" s="210">
        <f>SUM(B28:O28)</f>
        <v>766.77</v>
      </c>
    </row>
    <row r="29" spans="1:17" ht="12.75" customHeight="1">
      <c r="A29" s="213" t="s">
        <v>32</v>
      </c>
      <c r="B29" s="214">
        <f aca="true" t="shared" si="4" ref="B29:K29">SUM(B27:B28)</f>
        <v>0</v>
      </c>
      <c r="C29" s="214">
        <f t="shared" si="4"/>
        <v>450</v>
      </c>
      <c r="D29" s="214">
        <f t="shared" si="4"/>
        <v>0</v>
      </c>
      <c r="E29" s="214">
        <f t="shared" si="4"/>
        <v>0</v>
      </c>
      <c r="F29" s="214">
        <f t="shared" si="4"/>
        <v>0</v>
      </c>
      <c r="G29" s="214">
        <f t="shared" si="4"/>
        <v>233.4</v>
      </c>
      <c r="H29" s="214">
        <f t="shared" si="4"/>
        <v>0</v>
      </c>
      <c r="I29" s="214">
        <f t="shared" si="4"/>
        <v>233.37</v>
      </c>
      <c r="J29" s="214">
        <f t="shared" si="4"/>
        <v>0</v>
      </c>
      <c r="K29" s="214">
        <f t="shared" si="4"/>
        <v>300</v>
      </c>
      <c r="L29" s="214">
        <f>SUM(L27:L28)</f>
        <v>0</v>
      </c>
      <c r="M29" s="214">
        <f>SUM(M27:M28)</f>
        <v>0</v>
      </c>
      <c r="N29" s="214">
        <f>SUM(N27:N28)</f>
        <v>0</v>
      </c>
      <c r="O29" s="214">
        <v>0</v>
      </c>
      <c r="P29" s="228">
        <f>SUM(P27:P28)</f>
        <v>0</v>
      </c>
      <c r="Q29" s="214">
        <f>SUM(B29:O29)</f>
        <v>1216.77</v>
      </c>
    </row>
    <row r="30" spans="2:17" ht="12.75" customHeight="1"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29"/>
      <c r="O30" s="229"/>
      <c r="P30" s="212"/>
      <c r="Q30" s="215"/>
    </row>
    <row r="31" spans="1:17" ht="12.75" customHeight="1">
      <c r="A31" s="209" t="s">
        <v>33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29"/>
      <c r="O31" s="229"/>
      <c r="P31" s="212"/>
      <c r="Q31" s="215"/>
    </row>
    <row r="32" spans="1:17" ht="12.75" customHeight="1">
      <c r="A32" s="233" t="s">
        <v>34</v>
      </c>
      <c r="B32" s="210">
        <v>450</v>
      </c>
      <c r="C32" s="210">
        <v>990</v>
      </c>
      <c r="D32" s="210">
        <v>2100</v>
      </c>
      <c r="E32" s="210">
        <v>450</v>
      </c>
      <c r="F32" s="210">
        <v>450</v>
      </c>
      <c r="G32" s="210">
        <v>450</v>
      </c>
      <c r="H32" s="210">
        <v>450</v>
      </c>
      <c r="I32" s="210">
        <v>450</v>
      </c>
      <c r="J32" s="210">
        <v>450</v>
      </c>
      <c r="K32" s="210">
        <v>0</v>
      </c>
      <c r="L32" s="210">
        <v>450</v>
      </c>
      <c r="M32" s="210">
        <v>0</v>
      </c>
      <c r="N32" s="210">
        <v>0</v>
      </c>
      <c r="O32" s="210">
        <v>0</v>
      </c>
      <c r="P32" s="224">
        <f>2509*2</f>
        <v>5018</v>
      </c>
      <c r="Q32" s="210">
        <f>SUM(B32:O32)</f>
        <v>6690</v>
      </c>
    </row>
    <row r="33" spans="1:17" ht="12.75" customHeight="1">
      <c r="A33" s="223" t="s">
        <v>35</v>
      </c>
      <c r="B33" s="210">
        <v>131.88</v>
      </c>
      <c r="C33" s="210">
        <v>72.12</v>
      </c>
      <c r="D33" s="210">
        <v>1784</v>
      </c>
      <c r="E33" s="210">
        <v>695.56</v>
      </c>
      <c r="F33" s="210">
        <v>696.19</v>
      </c>
      <c r="G33" s="210">
        <v>354.86</v>
      </c>
      <c r="H33" s="210">
        <v>301.95</v>
      </c>
      <c r="I33" s="210">
        <v>1057.6</v>
      </c>
      <c r="J33" s="210">
        <v>271.08</v>
      </c>
      <c r="K33" s="210">
        <v>741.87</v>
      </c>
      <c r="L33" s="210">
        <v>852.35</v>
      </c>
      <c r="M33" s="210">
        <v>862.42</v>
      </c>
      <c r="N33" s="210">
        <v>690.01</v>
      </c>
      <c r="O33" s="210">
        <v>877.82</v>
      </c>
      <c r="P33" s="224">
        <f>+P$10*Assumptions!$C$60</f>
        <v>670.2259551670488</v>
      </c>
      <c r="Q33" s="210">
        <f>SUM(B33:O33)</f>
        <v>9389.71</v>
      </c>
    </row>
    <row r="34" spans="1:17" ht="12.75" customHeight="1">
      <c r="A34" s="223" t="s">
        <v>705</v>
      </c>
      <c r="B34" s="210">
        <v>0</v>
      </c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6382.09</v>
      </c>
      <c r="N34" s="210">
        <v>0</v>
      </c>
      <c r="O34" s="210">
        <v>0</v>
      </c>
      <c r="P34" s="224">
        <v>0</v>
      </c>
      <c r="Q34" s="210">
        <v>0</v>
      </c>
    </row>
    <row r="35" spans="1:17" ht="12.75" customHeight="1">
      <c r="A35" s="223" t="s">
        <v>36</v>
      </c>
      <c r="B35" s="210">
        <v>304.81</v>
      </c>
      <c r="C35" s="210">
        <v>250.83</v>
      </c>
      <c r="D35" s="210">
        <v>348.25</v>
      </c>
      <c r="E35" s="210">
        <v>343.12</v>
      </c>
      <c r="F35" s="210">
        <v>462.29</v>
      </c>
      <c r="G35" s="210">
        <v>480.05</v>
      </c>
      <c r="H35" s="210">
        <v>331.89</v>
      </c>
      <c r="I35" s="210">
        <v>368.82</v>
      </c>
      <c r="J35" s="210">
        <v>250.48</v>
      </c>
      <c r="K35" s="210">
        <v>391.42</v>
      </c>
      <c r="L35" s="210">
        <v>300.63</v>
      </c>
      <c r="M35" s="210">
        <v>272.67</v>
      </c>
      <c r="N35" s="210">
        <v>1077.47</v>
      </c>
      <c r="O35" s="210">
        <v>1722.26</v>
      </c>
      <c r="P35" s="224">
        <f>+P$10*Assumptions!$C$61</f>
        <v>335.1129775835244</v>
      </c>
      <c r="Q35" s="210">
        <f aca="true" t="shared" si="5" ref="Q35:Q68">SUM(B35:O35)</f>
        <v>6904.990000000001</v>
      </c>
    </row>
    <row r="36" spans="1:17" ht="12.75" customHeight="1">
      <c r="A36" s="226" t="s">
        <v>37</v>
      </c>
      <c r="B36" s="210">
        <v>10</v>
      </c>
      <c r="C36" s="210">
        <v>0</v>
      </c>
      <c r="D36" s="210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24">
        <v>0</v>
      </c>
      <c r="Q36" s="210">
        <f t="shared" si="5"/>
        <v>10</v>
      </c>
    </row>
    <row r="37" spans="1:17" ht="12.75" customHeight="1">
      <c r="A37" s="226" t="s">
        <v>38</v>
      </c>
      <c r="B37" s="210">
        <v>434.82</v>
      </c>
      <c r="C37" s="210">
        <v>561.16</v>
      </c>
      <c r="D37" s="210">
        <v>705.97</v>
      </c>
      <c r="E37" s="210">
        <v>371.73</v>
      </c>
      <c r="F37" s="210">
        <v>587.57</v>
      </c>
      <c r="G37" s="210">
        <v>534.52</v>
      </c>
      <c r="H37" s="210">
        <v>422.09</v>
      </c>
      <c r="I37" s="210">
        <v>515.88</v>
      </c>
      <c r="J37" s="210">
        <v>715.7</v>
      </c>
      <c r="K37" s="210">
        <v>326.24</v>
      </c>
      <c r="L37" s="210">
        <v>564.31</v>
      </c>
      <c r="M37" s="210">
        <v>497.9</v>
      </c>
      <c r="N37" s="210">
        <v>113.42</v>
      </c>
      <c r="O37" s="210">
        <v>623.19</v>
      </c>
      <c r="P37" s="224">
        <f>+AVERAGE(H37:N37)</f>
        <v>450.79142857142864</v>
      </c>
      <c r="Q37" s="210">
        <f t="shared" si="5"/>
        <v>6974.5</v>
      </c>
    </row>
    <row r="38" spans="1:17" ht="12.75" customHeight="1">
      <c r="A38" s="226" t="s">
        <v>39</v>
      </c>
      <c r="B38" s="210">
        <v>-46.66</v>
      </c>
      <c r="C38" s="210">
        <v>-46.66</v>
      </c>
      <c r="D38" s="210">
        <v>-46.66</v>
      </c>
      <c r="E38" s="210">
        <v>-46.66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24">
        <f>+AVERAGE(H38:N38)</f>
        <v>0</v>
      </c>
      <c r="Q38" s="210">
        <f t="shared" si="5"/>
        <v>-186.64</v>
      </c>
    </row>
    <row r="39" spans="1:17" ht="12.75" customHeight="1">
      <c r="A39" s="226" t="s">
        <v>40</v>
      </c>
      <c r="B39" s="210">
        <v>61.44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210">
        <v>0</v>
      </c>
      <c r="I39" s="210">
        <v>0</v>
      </c>
      <c r="J39" s="210">
        <v>0</v>
      </c>
      <c r="K39" s="210">
        <v>0</v>
      </c>
      <c r="L39" s="210">
        <v>0</v>
      </c>
      <c r="M39" s="210">
        <v>235.95</v>
      </c>
      <c r="N39" s="210">
        <v>0</v>
      </c>
      <c r="O39" s="210">
        <v>0</v>
      </c>
      <c r="P39" s="224">
        <f>+AVERAGE(H39:N39)</f>
        <v>33.707142857142856</v>
      </c>
      <c r="Q39" s="210">
        <f t="shared" si="5"/>
        <v>297.39</v>
      </c>
    </row>
    <row r="40" spans="1:17" ht="12.75" customHeight="1">
      <c r="A40" s="226" t="s">
        <v>41</v>
      </c>
      <c r="B40" s="210">
        <v>216.32</v>
      </c>
      <c r="C40" s="210">
        <v>216.32</v>
      </c>
      <c r="D40" s="210">
        <v>216.32</v>
      </c>
      <c r="E40" s="210">
        <v>196.66</v>
      </c>
      <c r="F40" s="210">
        <v>196.66</v>
      </c>
      <c r="G40" s="210">
        <v>196.66</v>
      </c>
      <c r="H40" s="210">
        <v>196.66</v>
      </c>
      <c r="I40" s="210">
        <v>271.66</v>
      </c>
      <c r="J40" s="210">
        <v>196.66</v>
      </c>
      <c r="K40" s="210">
        <v>196.66</v>
      </c>
      <c r="L40" s="210">
        <v>196.66</v>
      </c>
      <c r="M40" s="210">
        <v>271.66</v>
      </c>
      <c r="N40" s="210">
        <v>196.66</v>
      </c>
      <c r="O40" s="210">
        <v>196.66</v>
      </c>
      <c r="P40" s="224">
        <f>+Assumptions!$C$63</f>
        <v>196.66</v>
      </c>
      <c r="Q40" s="210">
        <f t="shared" si="5"/>
        <v>2962.22</v>
      </c>
    </row>
    <row r="41" spans="1:17" ht="12.75" customHeight="1">
      <c r="A41" s="226" t="s">
        <v>42</v>
      </c>
      <c r="B41" s="210">
        <v>3338.94</v>
      </c>
      <c r="C41" s="210">
        <v>1267.38</v>
      </c>
      <c r="D41" s="210">
        <v>1787.29</v>
      </c>
      <c r="E41" s="210">
        <v>2096.78</v>
      </c>
      <c r="F41" s="210">
        <v>2329.78</v>
      </c>
      <c r="G41" s="210">
        <v>1987.48</v>
      </c>
      <c r="H41" s="210">
        <v>1605.68</v>
      </c>
      <c r="I41" s="210">
        <v>1886.06</v>
      </c>
      <c r="J41" s="210">
        <v>1660.74</v>
      </c>
      <c r="K41" s="210">
        <v>3340.34</v>
      </c>
      <c r="L41" s="210">
        <v>992.92</v>
      </c>
      <c r="M41" s="210">
        <v>2413.2</v>
      </c>
      <c r="N41" s="210">
        <v>3488.26</v>
      </c>
      <c r="O41" s="210">
        <v>2256.79</v>
      </c>
      <c r="P41" s="224">
        <f>+AVERAGE(I41:N41)</f>
        <v>2296.92</v>
      </c>
      <c r="Q41" s="210">
        <f t="shared" si="5"/>
        <v>30451.64</v>
      </c>
    </row>
    <row r="42" spans="1:17" ht="12.75" customHeight="1">
      <c r="A42" s="226" t="s">
        <v>43</v>
      </c>
      <c r="B42" s="210">
        <v>0</v>
      </c>
      <c r="C42" s="210">
        <v>0</v>
      </c>
      <c r="D42" s="210">
        <v>0</v>
      </c>
      <c r="E42" s="210">
        <v>0</v>
      </c>
      <c r="F42" s="210">
        <v>386.26</v>
      </c>
      <c r="G42" s="210">
        <v>378.35</v>
      </c>
      <c r="H42" s="210">
        <v>408.48</v>
      </c>
      <c r="I42" s="210">
        <v>401.48</v>
      </c>
      <c r="J42" s="210">
        <v>0</v>
      </c>
      <c r="K42" s="210">
        <v>0</v>
      </c>
      <c r="L42" s="210">
        <v>398.97</v>
      </c>
      <c r="M42" s="210">
        <v>0</v>
      </c>
      <c r="N42" s="210">
        <v>0</v>
      </c>
      <c r="O42" s="210">
        <v>0</v>
      </c>
      <c r="P42" s="224">
        <v>0</v>
      </c>
      <c r="Q42" s="210">
        <f t="shared" si="5"/>
        <v>1973.5400000000002</v>
      </c>
    </row>
    <row r="43" spans="1:17" ht="12.75" customHeight="1">
      <c r="A43" s="226" t="s">
        <v>44</v>
      </c>
      <c r="B43" s="210">
        <v>0</v>
      </c>
      <c r="C43" s="210">
        <v>671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24">
        <v>0</v>
      </c>
      <c r="Q43" s="210">
        <f t="shared" si="5"/>
        <v>671</v>
      </c>
    </row>
    <row r="44" spans="1:17" ht="12.75" customHeight="1">
      <c r="A44" s="226" t="s">
        <v>45</v>
      </c>
      <c r="B44" s="210">
        <v>50</v>
      </c>
      <c r="C44" s="210">
        <v>50</v>
      </c>
      <c r="D44" s="210">
        <v>50</v>
      </c>
      <c r="E44" s="210">
        <v>0</v>
      </c>
      <c r="F44" s="210">
        <v>0</v>
      </c>
      <c r="G44" s="210">
        <v>220</v>
      </c>
      <c r="H44" s="210">
        <v>0</v>
      </c>
      <c r="I44" s="210">
        <v>0</v>
      </c>
      <c r="J44" s="210">
        <v>45.14</v>
      </c>
      <c r="K44" s="210">
        <v>0</v>
      </c>
      <c r="L44" s="210">
        <v>0</v>
      </c>
      <c r="M44" s="210">
        <v>0</v>
      </c>
      <c r="N44" s="210">
        <v>10</v>
      </c>
      <c r="O44" s="210">
        <v>0</v>
      </c>
      <c r="P44" s="224">
        <v>0</v>
      </c>
      <c r="Q44" s="210">
        <f t="shared" si="5"/>
        <v>425.14</v>
      </c>
    </row>
    <row r="45" spans="1:17" ht="12.75" customHeight="1">
      <c r="A45" s="226" t="s">
        <v>46</v>
      </c>
      <c r="B45" s="210">
        <v>91.67</v>
      </c>
      <c r="C45" s="210">
        <v>91.67</v>
      </c>
      <c r="D45" s="210">
        <v>91.67</v>
      </c>
      <c r="E45" s="210">
        <v>140.12</v>
      </c>
      <c r="F45" s="210">
        <v>91.67</v>
      </c>
      <c r="G45" s="210">
        <v>91.67</v>
      </c>
      <c r="H45" s="210">
        <v>190.67</v>
      </c>
      <c r="I45" s="210">
        <v>91.67</v>
      </c>
      <c r="J45" s="210">
        <v>291.67</v>
      </c>
      <c r="K45" s="210">
        <v>91.67</v>
      </c>
      <c r="L45" s="210">
        <v>91.67</v>
      </c>
      <c r="M45" s="210">
        <v>91.67</v>
      </c>
      <c r="N45" s="210">
        <v>91.67</v>
      </c>
      <c r="O45" s="210">
        <v>112.5</v>
      </c>
      <c r="P45" s="224">
        <f>+_xlfn.AVERAGEIF(H45:N45,"&lt;=100")</f>
        <v>91.67</v>
      </c>
      <c r="Q45" s="210">
        <f t="shared" si="5"/>
        <v>1651.6600000000003</v>
      </c>
    </row>
    <row r="46" spans="1:17" ht="12.75" customHeight="1">
      <c r="A46" s="226" t="s">
        <v>47</v>
      </c>
      <c r="B46" s="210">
        <v>150</v>
      </c>
      <c r="C46" s="210">
        <v>150</v>
      </c>
      <c r="D46" s="210">
        <v>150</v>
      </c>
      <c r="E46" s="210">
        <v>150</v>
      </c>
      <c r="F46" s="210">
        <v>150</v>
      </c>
      <c r="G46" s="210">
        <v>150</v>
      </c>
      <c r="H46" s="210">
        <v>150</v>
      </c>
      <c r="I46" s="210">
        <v>150</v>
      </c>
      <c r="J46" s="210">
        <v>150</v>
      </c>
      <c r="K46" s="210">
        <v>150</v>
      </c>
      <c r="L46" s="210">
        <v>150</v>
      </c>
      <c r="M46" s="210">
        <v>150</v>
      </c>
      <c r="N46" s="210">
        <v>50</v>
      </c>
      <c r="O46" s="210">
        <v>-750</v>
      </c>
      <c r="P46" s="224">
        <v>0</v>
      </c>
      <c r="Q46" s="210">
        <f t="shared" si="5"/>
        <v>1100</v>
      </c>
    </row>
    <row r="47" spans="1:17" ht="12.75" customHeight="1">
      <c r="A47" s="233" t="s">
        <v>48</v>
      </c>
      <c r="B47" s="210">
        <v>5.44</v>
      </c>
      <c r="C47" s="210">
        <v>5.44</v>
      </c>
      <c r="D47" s="210">
        <v>5.44</v>
      </c>
      <c r="E47" s="210">
        <v>5.44</v>
      </c>
      <c r="F47" s="210">
        <v>5.44</v>
      </c>
      <c r="G47" s="210">
        <v>9.49</v>
      </c>
      <c r="H47" s="210">
        <v>9.49</v>
      </c>
      <c r="I47" s="210">
        <v>9.49</v>
      </c>
      <c r="J47" s="210">
        <v>9.49</v>
      </c>
      <c r="K47" s="210">
        <v>9.49</v>
      </c>
      <c r="L47" s="210">
        <v>9.49</v>
      </c>
      <c r="M47" s="210">
        <v>9.49</v>
      </c>
      <c r="N47" s="210">
        <v>9.49</v>
      </c>
      <c r="O47" s="210">
        <v>9.49</v>
      </c>
      <c r="P47" s="224">
        <v>0</v>
      </c>
      <c r="Q47" s="210">
        <f t="shared" si="5"/>
        <v>112.60999999999999</v>
      </c>
    </row>
    <row r="48" spans="1:17" ht="12.75" customHeight="1">
      <c r="A48" s="233" t="s">
        <v>49</v>
      </c>
      <c r="B48" s="210">
        <v>85.89</v>
      </c>
      <c r="C48" s="210">
        <v>248.15</v>
      </c>
      <c r="D48" s="210">
        <v>144.93</v>
      </c>
      <c r="E48" s="210">
        <v>311.94</v>
      </c>
      <c r="F48" s="210">
        <v>125.38</v>
      </c>
      <c r="G48" s="210">
        <v>63.96</v>
      </c>
      <c r="H48" s="210">
        <v>269.83</v>
      </c>
      <c r="I48" s="210">
        <v>347.23</v>
      </c>
      <c r="J48" s="210">
        <v>59.98</v>
      </c>
      <c r="K48" s="210">
        <v>194.75</v>
      </c>
      <c r="L48" s="210">
        <v>203.74</v>
      </c>
      <c r="M48" s="210">
        <v>94.97</v>
      </c>
      <c r="N48" s="210">
        <v>17.98</v>
      </c>
      <c r="O48" s="210">
        <v>17.98</v>
      </c>
      <c r="P48" s="224">
        <f>_xlfn.AVERAGEIF(I48:N48,"&lt;&gt;""0")</f>
        <v>153.10833333333335</v>
      </c>
      <c r="Q48" s="210">
        <f t="shared" si="5"/>
        <v>2186.71</v>
      </c>
    </row>
    <row r="49" spans="1:17" ht="12.75" customHeight="1">
      <c r="A49" s="226" t="s">
        <v>50</v>
      </c>
      <c r="B49" s="210">
        <v>14.63</v>
      </c>
      <c r="C49" s="210">
        <v>14.63</v>
      </c>
      <c r="D49" s="210">
        <v>0</v>
      </c>
      <c r="E49" s="210">
        <v>0</v>
      </c>
      <c r="F49" s="210">
        <v>0</v>
      </c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24">
        <v>0</v>
      </c>
      <c r="Q49" s="210">
        <f t="shared" si="5"/>
        <v>29.26</v>
      </c>
    </row>
    <row r="50" spans="1:17" ht="12.75" customHeight="1">
      <c r="A50" s="226" t="s">
        <v>51</v>
      </c>
      <c r="B50" s="210">
        <v>28.28</v>
      </c>
      <c r="C50" s="210">
        <v>27.74</v>
      </c>
      <c r="D50" s="210">
        <v>28.41</v>
      </c>
      <c r="E50" s="210">
        <v>30.43</v>
      </c>
      <c r="F50" s="210">
        <v>883.35</v>
      </c>
      <c r="G50" s="210">
        <v>30.75</v>
      </c>
      <c r="H50" s="210">
        <v>32.82</v>
      </c>
      <c r="I50" s="210">
        <v>32.48</v>
      </c>
      <c r="J50" s="210">
        <v>182.27</v>
      </c>
      <c r="K50" s="210">
        <v>32.61</v>
      </c>
      <c r="L50" s="210">
        <v>-31.44</v>
      </c>
      <c r="M50" s="210">
        <v>0</v>
      </c>
      <c r="N50" s="210">
        <v>0</v>
      </c>
      <c r="O50" s="210">
        <v>0</v>
      </c>
      <c r="P50" s="224">
        <v>0</v>
      </c>
      <c r="Q50" s="210">
        <f t="shared" si="5"/>
        <v>1277.6999999999998</v>
      </c>
    </row>
    <row r="51" spans="1:17" ht="12.75" customHeight="1">
      <c r="A51" s="226" t="s">
        <v>52</v>
      </c>
      <c r="B51" s="210">
        <v>0</v>
      </c>
      <c r="C51" s="210">
        <v>0</v>
      </c>
      <c r="D51" s="210">
        <v>0</v>
      </c>
      <c r="E51" s="210">
        <v>0</v>
      </c>
      <c r="F51" s="210">
        <v>0</v>
      </c>
      <c r="G51" s="210">
        <v>0</v>
      </c>
      <c r="H51" s="210">
        <v>131</v>
      </c>
      <c r="I51" s="210">
        <v>0</v>
      </c>
      <c r="J51" s="210">
        <v>0</v>
      </c>
      <c r="K51" s="210">
        <v>0</v>
      </c>
      <c r="L51" s="210">
        <v>120</v>
      </c>
      <c r="M51" s="210">
        <v>0</v>
      </c>
      <c r="N51" s="210">
        <v>0</v>
      </c>
      <c r="O51" s="210">
        <v>0</v>
      </c>
      <c r="P51" s="224">
        <v>0</v>
      </c>
      <c r="Q51" s="210">
        <f t="shared" si="5"/>
        <v>251</v>
      </c>
    </row>
    <row r="52" spans="1:17" ht="12.75" customHeight="1">
      <c r="A52" s="226" t="s">
        <v>53</v>
      </c>
      <c r="B52" s="210">
        <v>0</v>
      </c>
      <c r="C52" s="210">
        <v>0</v>
      </c>
      <c r="D52" s="210">
        <v>0</v>
      </c>
      <c r="E52" s="210">
        <v>151</v>
      </c>
      <c r="F52" s="210">
        <v>0</v>
      </c>
      <c r="G52" s="210">
        <v>0</v>
      </c>
      <c r="H52" s="210">
        <v>29.13</v>
      </c>
      <c r="I52" s="210">
        <v>34.75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0</v>
      </c>
      <c r="P52" s="224">
        <f>+AVERAGE(H52:N52)</f>
        <v>9.125714285714285</v>
      </c>
      <c r="Q52" s="210">
        <f t="shared" si="5"/>
        <v>214.88</v>
      </c>
    </row>
    <row r="53" spans="1:17" ht="12.75" customHeight="1">
      <c r="A53" s="226" t="s">
        <v>54</v>
      </c>
      <c r="B53" s="210">
        <v>942.81</v>
      </c>
      <c r="C53" s="210">
        <v>728.35</v>
      </c>
      <c r="D53" s="210">
        <v>632.72</v>
      </c>
      <c r="E53" s="210">
        <v>120.89</v>
      </c>
      <c r="F53" s="210">
        <v>22.77</v>
      </c>
      <c r="G53" s="210">
        <v>7.06</v>
      </c>
      <c r="H53" s="210">
        <v>0</v>
      </c>
      <c r="I53" s="210">
        <v>42.9</v>
      </c>
      <c r="J53" s="210">
        <v>20.68</v>
      </c>
      <c r="K53" s="210">
        <v>0</v>
      </c>
      <c r="L53" s="210">
        <v>0</v>
      </c>
      <c r="M53" s="210">
        <v>0</v>
      </c>
      <c r="N53" s="210">
        <v>89.64</v>
      </c>
      <c r="O53" s="210">
        <v>0</v>
      </c>
      <c r="P53" s="224">
        <f>+AVERAGE(H53:N53)</f>
        <v>21.888571428571428</v>
      </c>
      <c r="Q53" s="210">
        <f t="shared" si="5"/>
        <v>2607.8199999999997</v>
      </c>
    </row>
    <row r="54" spans="1:17" ht="12.75" customHeight="1">
      <c r="A54" s="226" t="s">
        <v>55</v>
      </c>
      <c r="B54" s="210">
        <v>156.4</v>
      </c>
      <c r="C54" s="210">
        <v>0</v>
      </c>
      <c r="D54" s="210">
        <v>0</v>
      </c>
      <c r="E54" s="210">
        <v>381.9</v>
      </c>
      <c r="F54" s="210">
        <v>198</v>
      </c>
      <c r="G54" s="210">
        <v>0</v>
      </c>
      <c r="H54" s="210">
        <v>0</v>
      </c>
      <c r="I54" s="210">
        <v>420.45</v>
      </c>
      <c r="J54" s="210">
        <v>69.72</v>
      </c>
      <c r="K54" s="210">
        <v>0</v>
      </c>
      <c r="L54" s="210">
        <v>348.33</v>
      </c>
      <c r="M54" s="210">
        <v>471</v>
      </c>
      <c r="N54" s="210">
        <v>0</v>
      </c>
      <c r="O54" s="210">
        <v>125</v>
      </c>
      <c r="P54" s="224">
        <f>+AVERAGE(H54:N54)</f>
        <v>187.07142857142858</v>
      </c>
      <c r="Q54" s="210">
        <f t="shared" si="5"/>
        <v>2170.8</v>
      </c>
    </row>
    <row r="55" spans="1:17" ht="12.75" customHeight="1">
      <c r="A55" s="230" t="s">
        <v>56</v>
      </c>
      <c r="B55" s="210">
        <v>0</v>
      </c>
      <c r="C55" s="210">
        <v>0</v>
      </c>
      <c r="D55" s="210">
        <v>1045</v>
      </c>
      <c r="E55" s="210">
        <v>0</v>
      </c>
      <c r="F55" s="210">
        <v>0</v>
      </c>
      <c r="G55" s="210">
        <v>95</v>
      </c>
      <c r="H55" s="210">
        <v>70</v>
      </c>
      <c r="I55" s="210">
        <v>182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0</v>
      </c>
      <c r="P55" s="224">
        <v>0</v>
      </c>
      <c r="Q55" s="210">
        <f t="shared" si="5"/>
        <v>1392</v>
      </c>
    </row>
    <row r="56" spans="1:17" ht="12.75" customHeight="1">
      <c r="A56" s="226" t="s">
        <v>57</v>
      </c>
      <c r="B56" s="210">
        <v>0</v>
      </c>
      <c r="C56" s="210">
        <v>0</v>
      </c>
      <c r="D56" s="210">
        <v>0</v>
      </c>
      <c r="E56" s="210">
        <v>0</v>
      </c>
      <c r="F56" s="210">
        <v>0</v>
      </c>
      <c r="G56" s="210">
        <v>0</v>
      </c>
      <c r="H56" s="210">
        <v>0</v>
      </c>
      <c r="I56" s="210">
        <v>40</v>
      </c>
      <c r="J56" s="210">
        <v>0</v>
      </c>
      <c r="K56" s="210">
        <v>0</v>
      </c>
      <c r="L56" s="210">
        <v>0</v>
      </c>
      <c r="M56" s="210">
        <v>40</v>
      </c>
      <c r="N56" s="210">
        <v>0</v>
      </c>
      <c r="O56" s="210">
        <v>0</v>
      </c>
      <c r="P56" s="224">
        <v>0</v>
      </c>
      <c r="Q56" s="210">
        <f t="shared" si="5"/>
        <v>80</v>
      </c>
    </row>
    <row r="57" spans="1:17" ht="12.75" customHeight="1">
      <c r="A57" s="226" t="s">
        <v>58</v>
      </c>
      <c r="B57" s="210">
        <v>265.59</v>
      </c>
      <c r="C57" s="210">
        <v>79.16</v>
      </c>
      <c r="D57" s="210">
        <v>81.53</v>
      </c>
      <c r="E57" s="210">
        <v>0</v>
      </c>
      <c r="F57" s="210">
        <v>100.19</v>
      </c>
      <c r="G57" s="210">
        <v>124.32</v>
      </c>
      <c r="H57" s="210">
        <v>73.17</v>
      </c>
      <c r="I57" s="210">
        <v>78.53</v>
      </c>
      <c r="J57" s="210">
        <v>31.98</v>
      </c>
      <c r="K57" s="210">
        <v>0</v>
      </c>
      <c r="L57" s="210">
        <v>29.42</v>
      </c>
      <c r="M57" s="210">
        <v>47.66</v>
      </c>
      <c r="N57" s="210">
        <v>93.09</v>
      </c>
      <c r="O57" s="210">
        <v>31.67</v>
      </c>
      <c r="P57" s="224">
        <v>0</v>
      </c>
      <c r="Q57" s="210">
        <f t="shared" si="5"/>
        <v>1036.31</v>
      </c>
    </row>
    <row r="58" spans="1:17" ht="12.75" customHeight="1">
      <c r="A58" s="226" t="s">
        <v>59</v>
      </c>
      <c r="B58" s="210">
        <v>389.2</v>
      </c>
      <c r="C58" s="210">
        <v>486.5</v>
      </c>
      <c r="D58" s="210">
        <v>389.2</v>
      </c>
      <c r="E58" s="210">
        <v>389.2</v>
      </c>
      <c r="F58" s="210">
        <v>486.5</v>
      </c>
      <c r="G58" s="210">
        <v>389.2</v>
      </c>
      <c r="H58" s="210">
        <v>486.5</v>
      </c>
      <c r="I58" s="210">
        <v>389.2</v>
      </c>
      <c r="J58" s="210">
        <v>389.2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24">
        <v>0</v>
      </c>
      <c r="Q58" s="210">
        <f t="shared" si="5"/>
        <v>3794.7</v>
      </c>
    </row>
    <row r="59" spans="1:17" ht="12.75" customHeight="1">
      <c r="A59" s="230" t="s">
        <v>60</v>
      </c>
      <c r="B59" s="210">
        <v>0</v>
      </c>
      <c r="C59" s="210">
        <v>140</v>
      </c>
      <c r="D59" s="210">
        <v>1100</v>
      </c>
      <c r="E59" s="210">
        <v>0</v>
      </c>
      <c r="F59" s="210">
        <v>23.49</v>
      </c>
      <c r="G59" s="210">
        <v>24.74</v>
      </c>
      <c r="H59" s="210">
        <v>25.41</v>
      </c>
      <c r="I59" s="210">
        <v>26.5</v>
      </c>
      <c r="J59" s="210">
        <v>195.17</v>
      </c>
      <c r="K59" s="210">
        <v>14.01</v>
      </c>
      <c r="L59" s="210">
        <v>20.01</v>
      </c>
      <c r="M59" s="210">
        <v>7.84</v>
      </c>
      <c r="N59" s="210">
        <v>6.43</v>
      </c>
      <c r="O59" s="210">
        <v>0</v>
      </c>
      <c r="P59" s="224">
        <v>0</v>
      </c>
      <c r="Q59" s="210">
        <f t="shared" si="5"/>
        <v>1583.6000000000001</v>
      </c>
    </row>
    <row r="60" spans="1:17" ht="12.75" customHeight="1">
      <c r="A60" s="226" t="s">
        <v>61</v>
      </c>
      <c r="B60" s="210">
        <v>0</v>
      </c>
      <c r="C60" s="210">
        <v>225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24">
        <v>0</v>
      </c>
      <c r="Q60" s="210">
        <f t="shared" si="5"/>
        <v>225</v>
      </c>
    </row>
    <row r="61" spans="1:17" ht="12.75" customHeight="1">
      <c r="A61" s="230" t="s">
        <v>62</v>
      </c>
      <c r="B61" s="210">
        <v>222.31</v>
      </c>
      <c r="C61" s="210">
        <v>240.18</v>
      </c>
      <c r="D61" s="210">
        <v>331.83</v>
      </c>
      <c r="E61" s="210">
        <v>225.04</v>
      </c>
      <c r="F61" s="210">
        <v>123.63</v>
      </c>
      <c r="G61" s="210">
        <v>205.67</v>
      </c>
      <c r="H61" s="210">
        <v>158.26</v>
      </c>
      <c r="I61" s="210">
        <v>238.18</v>
      </c>
      <c r="J61" s="210">
        <v>369.82</v>
      </c>
      <c r="K61" s="210">
        <v>202.34</v>
      </c>
      <c r="L61" s="210">
        <v>32.3</v>
      </c>
      <c r="M61" s="210">
        <v>322.72</v>
      </c>
      <c r="N61" s="210">
        <v>23.7</v>
      </c>
      <c r="O61" s="210">
        <v>23.7</v>
      </c>
      <c r="P61" s="224">
        <f>_xlfn.AVERAGEIF(K61:N61,"&lt;&gt;0")*IF(N61=0,2,1)</f>
        <v>145.26500000000001</v>
      </c>
      <c r="Q61" s="210">
        <f t="shared" si="5"/>
        <v>2719.6800000000003</v>
      </c>
    </row>
    <row r="62" spans="1:17" ht="12.75" customHeight="1">
      <c r="A62" s="226" t="s">
        <v>63</v>
      </c>
      <c r="B62" s="210">
        <v>240</v>
      </c>
      <c r="C62" s="210">
        <v>0</v>
      </c>
      <c r="D62" s="210">
        <v>555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210">
        <v>0</v>
      </c>
      <c r="K62" s="210">
        <v>0</v>
      </c>
      <c r="L62" s="210">
        <v>0</v>
      </c>
      <c r="M62" s="210">
        <v>0</v>
      </c>
      <c r="N62" s="210">
        <v>0</v>
      </c>
      <c r="O62" s="210">
        <v>0</v>
      </c>
      <c r="P62" s="224">
        <v>0</v>
      </c>
      <c r="Q62" s="210">
        <f t="shared" si="5"/>
        <v>795</v>
      </c>
    </row>
    <row r="63" spans="1:17" ht="12.75" customHeight="1">
      <c r="A63" s="226" t="s">
        <v>64</v>
      </c>
      <c r="B63" s="210">
        <v>1054.66</v>
      </c>
      <c r="C63" s="210">
        <v>170</v>
      </c>
      <c r="D63" s="210">
        <v>0</v>
      </c>
      <c r="E63" s="210">
        <v>0</v>
      </c>
      <c r="F63" s="210">
        <v>0</v>
      </c>
      <c r="G63" s="210">
        <v>0</v>
      </c>
      <c r="H63" s="210">
        <v>0</v>
      </c>
      <c r="I63" s="210">
        <v>331</v>
      </c>
      <c r="J63" s="210">
        <v>0</v>
      </c>
      <c r="K63" s="210">
        <v>0</v>
      </c>
      <c r="L63" s="210">
        <v>0</v>
      </c>
      <c r="M63" s="210">
        <v>0</v>
      </c>
      <c r="N63" s="210">
        <v>0</v>
      </c>
      <c r="O63" s="210">
        <v>0</v>
      </c>
      <c r="P63" s="224">
        <v>0</v>
      </c>
      <c r="Q63" s="210">
        <f t="shared" si="5"/>
        <v>1555.66</v>
      </c>
    </row>
    <row r="64" spans="1:17" ht="12.75" customHeight="1">
      <c r="A64" s="226" t="s">
        <v>65</v>
      </c>
      <c r="B64" s="210">
        <v>111.23</v>
      </c>
      <c r="C64" s="210">
        <v>9.25</v>
      </c>
      <c r="D64" s="210">
        <v>9.41</v>
      </c>
      <c r="E64" s="210">
        <v>653.03</v>
      </c>
      <c r="F64" s="210">
        <v>0</v>
      </c>
      <c r="G64" s="210">
        <v>0</v>
      </c>
      <c r="H64" s="210">
        <v>0</v>
      </c>
      <c r="I64" s="210">
        <v>0</v>
      </c>
      <c r="J64" s="210">
        <v>0</v>
      </c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24">
        <v>0</v>
      </c>
      <c r="Q64" s="210">
        <f t="shared" si="5"/>
        <v>782.92</v>
      </c>
    </row>
    <row r="65" spans="1:17" ht="12.75" customHeight="1">
      <c r="A65" s="230" t="s">
        <v>66</v>
      </c>
      <c r="B65" s="210">
        <v>458.03</v>
      </c>
      <c r="C65" s="210">
        <v>195.45</v>
      </c>
      <c r="D65" s="210">
        <v>126.99</v>
      </c>
      <c r="E65" s="210">
        <v>2634.6</v>
      </c>
      <c r="F65" s="210">
        <v>2085.52</v>
      </c>
      <c r="G65" s="210">
        <v>449.16</v>
      </c>
      <c r="H65" s="210">
        <v>550.98</v>
      </c>
      <c r="I65" s="210">
        <v>1583.74</v>
      </c>
      <c r="J65" s="210">
        <v>2987</v>
      </c>
      <c r="K65" s="210">
        <v>565.36</v>
      </c>
      <c r="L65" s="210">
        <v>552.3</v>
      </c>
      <c r="M65" s="210">
        <v>3447.37</v>
      </c>
      <c r="N65" s="210">
        <v>655.59</v>
      </c>
      <c r="O65" s="210">
        <v>2306.49</v>
      </c>
      <c r="P65" s="224">
        <f>+AVERAGE(H65:N65)</f>
        <v>1477.4771428571428</v>
      </c>
      <c r="Q65" s="210">
        <f t="shared" si="5"/>
        <v>18598.58</v>
      </c>
    </row>
    <row r="66" spans="1:17" ht="12.75" customHeight="1">
      <c r="A66" s="230" t="s">
        <v>67</v>
      </c>
      <c r="B66" s="210">
        <v>6454.96</v>
      </c>
      <c r="C66" s="210">
        <v>3769.03</v>
      </c>
      <c r="D66" s="210">
        <v>5366.66</v>
      </c>
      <c r="E66" s="210">
        <v>5540.7</v>
      </c>
      <c r="F66" s="210">
        <v>4541.66</v>
      </c>
      <c r="G66" s="210">
        <v>5430.68</v>
      </c>
      <c r="H66" s="210">
        <v>4641.66</v>
      </c>
      <c r="I66" s="210">
        <v>4629.16</v>
      </c>
      <c r="J66" s="210">
        <v>2208.33</v>
      </c>
      <c r="K66" s="210">
        <v>2289.21</v>
      </c>
      <c r="L66" s="210">
        <v>2208.33</v>
      </c>
      <c r="M66" s="210">
        <v>2309.14</v>
      </c>
      <c r="N66" s="210">
        <v>2223.26</v>
      </c>
      <c r="O66" s="210">
        <v>2331.73</v>
      </c>
      <c r="P66" s="224">
        <f>+AVERAGE(K66:N66)</f>
        <v>2257.485</v>
      </c>
      <c r="Q66" s="210">
        <f t="shared" si="5"/>
        <v>53944.51</v>
      </c>
    </row>
    <row r="67" spans="1:17" ht="12.75" customHeight="1">
      <c r="A67" s="226" t="s">
        <v>68</v>
      </c>
      <c r="B67" s="210">
        <v>1851.13</v>
      </c>
      <c r="C67" s="210">
        <v>2275.57</v>
      </c>
      <c r="D67" s="210">
        <v>1850.93</v>
      </c>
      <c r="E67" s="210">
        <v>1850.93</v>
      </c>
      <c r="F67" s="210">
        <v>0</v>
      </c>
      <c r="G67" s="210">
        <v>0</v>
      </c>
      <c r="H67" s="210">
        <v>0</v>
      </c>
      <c r="I67" s="210">
        <v>0</v>
      </c>
      <c r="J67" s="210">
        <v>0</v>
      </c>
      <c r="K67" s="210">
        <v>0</v>
      </c>
      <c r="L67" s="210">
        <v>0</v>
      </c>
      <c r="M67" s="210">
        <v>0</v>
      </c>
      <c r="N67" s="210">
        <v>0</v>
      </c>
      <c r="O67" s="210">
        <v>0</v>
      </c>
      <c r="P67" s="224">
        <v>0</v>
      </c>
      <c r="Q67" s="210">
        <f t="shared" si="5"/>
        <v>7828.560000000001</v>
      </c>
    </row>
    <row r="68" spans="1:17" ht="12.75" customHeight="1">
      <c r="A68" s="213" t="s">
        <v>69</v>
      </c>
      <c r="B68" s="214">
        <f aca="true" t="shared" si="6" ref="B68:K68">SUM(B32:B67)</f>
        <v>17473.780000000002</v>
      </c>
      <c r="C68" s="214">
        <f t="shared" si="6"/>
        <v>12888.269999999999</v>
      </c>
      <c r="D68" s="214">
        <f t="shared" si="6"/>
        <v>18854.89</v>
      </c>
      <c r="E68" s="214">
        <f t="shared" si="6"/>
        <v>16692.41</v>
      </c>
      <c r="F68" s="214">
        <f t="shared" si="6"/>
        <v>13946.35</v>
      </c>
      <c r="G68" s="214">
        <f t="shared" si="6"/>
        <v>11673.619999999999</v>
      </c>
      <c r="H68" s="214">
        <f t="shared" si="6"/>
        <v>10535.67</v>
      </c>
      <c r="I68" s="214">
        <f t="shared" si="6"/>
        <v>13578.779999999999</v>
      </c>
      <c r="J68" s="214">
        <f t="shared" si="6"/>
        <v>10555.109999999999</v>
      </c>
      <c r="K68" s="214">
        <f t="shared" si="6"/>
        <v>8545.970000000001</v>
      </c>
      <c r="L68" s="214">
        <f>SUM(L32:L67)</f>
        <v>7489.990000000001</v>
      </c>
      <c r="M68" s="214">
        <f>SUM(M32:M67)</f>
        <v>17927.749999999996</v>
      </c>
      <c r="N68" s="214">
        <f>SUM(N32:N67)</f>
        <v>8836.67</v>
      </c>
      <c r="O68" s="214">
        <f>SUM(O32:O67)</f>
        <v>9885.279999999999</v>
      </c>
      <c r="P68" s="228">
        <f>SUM(P32:P67)</f>
        <v>13344.508694655335</v>
      </c>
      <c r="Q68" s="214">
        <f t="shared" si="5"/>
        <v>178884.54</v>
      </c>
    </row>
    <row r="69" spans="2:17" ht="12.75" customHeight="1"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29"/>
      <c r="O69" s="229"/>
      <c r="P69" s="212"/>
      <c r="Q69" s="215"/>
    </row>
    <row r="70" spans="1:17" ht="12.75" customHeight="1" thickBot="1">
      <c r="A70" s="216" t="s">
        <v>70</v>
      </c>
      <c r="B70" s="217">
        <f aca="true" t="shared" si="7" ref="B70:O70">(B24)+(B29)-(B68)+(0)-(0)</f>
        <v>15761.280000000002</v>
      </c>
      <c r="C70" s="217">
        <f t="shared" si="7"/>
        <v>19822.25</v>
      </c>
      <c r="D70" s="217">
        <f t="shared" si="7"/>
        <v>5264.420000000002</v>
      </c>
      <c r="E70" s="217">
        <f t="shared" si="7"/>
        <v>18662.760000000006</v>
      </c>
      <c r="F70" s="217">
        <f t="shared" si="7"/>
        <v>-20076.37999999999</v>
      </c>
      <c r="G70" s="217">
        <f t="shared" si="7"/>
        <v>-18487.390000000007</v>
      </c>
      <c r="H70" s="217">
        <f t="shared" si="7"/>
        <v>27781.550000000003</v>
      </c>
      <c r="I70" s="217">
        <f t="shared" si="7"/>
        <v>19140.26</v>
      </c>
      <c r="J70" s="217">
        <f t="shared" si="7"/>
        <v>10593.01</v>
      </c>
      <c r="K70" s="217">
        <f t="shared" si="7"/>
        <v>-36424.700000000004</v>
      </c>
      <c r="L70" s="217">
        <f t="shared" si="7"/>
        <v>42697.770000000004</v>
      </c>
      <c r="M70" s="217">
        <f t="shared" si="7"/>
        <v>-32093.71</v>
      </c>
      <c r="N70" s="217">
        <f t="shared" si="7"/>
        <v>25773.990000000005</v>
      </c>
      <c r="O70" s="217">
        <f t="shared" si="7"/>
        <v>-27526.14</v>
      </c>
      <c r="P70" s="232">
        <f>(P24)+(P29)-(P68)+(0)-(0)</f>
        <v>-2483.9629587193704</v>
      </c>
      <c r="Q70" s="217">
        <f>SUM(B70:O70)</f>
        <v>50888.970000000016</v>
      </c>
    </row>
    <row r="71" ht="12.75" customHeight="1" thickTop="1"/>
  </sheetData>
  <sheetProtection/>
  <mergeCells count="3">
    <mergeCell ref="A1:Q1"/>
    <mergeCell ref="A2:Q2"/>
    <mergeCell ref="A3:Q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natwar</cp:lastModifiedBy>
  <cp:lastPrinted>2017-06-12T10:05:13Z</cp:lastPrinted>
  <dcterms:created xsi:type="dcterms:W3CDTF">2017-02-14T10:19:48Z</dcterms:created>
  <dcterms:modified xsi:type="dcterms:W3CDTF">2017-07-12T13:55:58Z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